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WO-01\U80707991\config\Desktop\"/>
    </mc:Choice>
  </mc:AlternateContent>
  <xr:revisionPtr revIDLastSave="0" documentId="13_ncr:1_{189E28CE-505F-441D-B83A-20A76C44DB69}" xr6:coauthVersionLast="47" xr6:coauthVersionMax="47" xr10:uidLastSave="{00000000-0000-0000-0000-000000000000}"/>
  <workbookProtection workbookAlgorithmName="SHA-512" workbookHashValue="Bvvv90PZ+rnGvdo086lP0zxL42xwvVJr2XUssFy9IUOHdtDOllz8iv/qq7w8poVOjvMkKMv0xUER9nf7UyGanQ==" workbookSaltValue="DHqfIrT9ndYNJyrVskCFOw==" workbookSpinCount="100000" lockStructure="1"/>
  <bookViews>
    <workbookView xWindow="4200" yWindow="30" windowWidth="24165" windowHeight="15450" tabRatio="844" xr2:uid="{00000000-000D-0000-FFFF-FFFF00000000}"/>
  </bookViews>
  <sheets>
    <sheet name="Simulateur" sheetId="16" r:id="rId1"/>
    <sheet name="Logements locatifs" sheetId="1" state="hidden" r:id="rId2"/>
    <sheet name="PPE" sheetId="13" r:id="rId3"/>
    <sheet name="Maison indiv. - en rangée" sheetId="15" r:id="rId4"/>
    <sheet name="AKL 2025" sheetId="11" state="hidden" r:id="rId5"/>
    <sheet name="Kostenstufen 2025" sheetId="4" state="hidden" r:id="rId6"/>
    <sheet name="Hindernisfreie Bauten" sheetId="12" state="hidden" r:id="rId7"/>
    <sheet name="Nachhaltigkeisstandards" sheetId="5" state="hidden" r:id="rId8"/>
  </sheets>
  <externalReferences>
    <externalReference r:id="rId9"/>
  </externalReferences>
  <definedNames>
    <definedName name="_Ant60">[1]Cockpit!$F$44:$G$44</definedName>
    <definedName name="_xlnm._FilterDatabase" localSheetId="5" hidden="1">'Kostenstufen 2025'!$A$1:$E$1</definedName>
    <definedName name="Angquo">[1]Cockpit!$F$34:$G$34</definedName>
    <definedName name="AntWHG">[1]Cockpit!$F$31:$G$31</definedName>
    <definedName name="Bevwachs">[1]Cockpit!$F$45:$G$45</definedName>
    <definedName name="dPreis">[1]Cockpit!$F$43:$G$43</definedName>
    <definedName name="_xlnm.Print_Area" localSheetId="4">'AKL 2025'!$A$1:$W$20</definedName>
    <definedName name="_xlnm.Print_Area" localSheetId="1">'Logements locatifs'!$A$1:$E$55</definedName>
    <definedName name="_xlnm.Print_Area" localSheetId="3">'Maison indiv. - en rangée'!$A$1:$E$50</definedName>
    <definedName name="_xlnm.Print_Area" localSheetId="2">PPE!$A$1:$E$50</definedName>
    <definedName name="Eink">[1]Cockpit!$F$42:$G$42</definedName>
    <definedName name="Einw">[1]Cockpit!$F$32:$G$32</definedName>
    <definedName name="ErrArb">[1]Cockpit!$F$40:$G$40</definedName>
    <definedName name="ErrEinw">[1]Cockpit!$F$39:$G$39</definedName>
    <definedName name="Gemcode">[1]Cockpit!$D$15</definedName>
    <definedName name="Gemeinde">[1]Cockpit!$D$24</definedName>
    <definedName name="Leer">[1]Cockpit!$F$35:$G$35</definedName>
    <definedName name="LeerBau">[1]Cockpit!$F$37:$G$37</definedName>
    <definedName name="Neuquo">[1]Cockpit!$F$47:$G$47</definedName>
    <definedName name="Preis">[1]Cockpit!$F$38:$G$38</definedName>
    <definedName name="Rating">[1]Cockpit!$D$26</definedName>
    <definedName name="Steuer">[1]Cockpit!$F$41:$G$41</definedName>
    <definedName name="VolNach">[1]Cockpit!$F$36:$G$36</definedName>
    <definedName name="WandSald">[1]Cockpit!$F$46:$G$46</definedName>
    <definedName name="WHG">[1]Cockpit!$F$33:$G$33</definedName>
    <definedName name="Z_DE5B7886_4BB5_4BFA_B6B7_1534718A9F64_.wvu.FilterData" localSheetId="5" hidden="1">'Kostenstufen 2025'!$A$1:$E$1</definedName>
    <definedName name="Z_DE5B7886_4BB5_4BFA_B6B7_1534718A9F64_.wvu.PrintArea" localSheetId="1" hidden="1">'Logements locatifs'!$B$1:$E$55</definedName>
    <definedName name="Z_DE5B7886_4BB5_4BFA_B6B7_1534718A9F64_.wvu.PrintArea" localSheetId="3" hidden="1">'Maison indiv. - en rangée'!$B$1:$E$50</definedName>
    <definedName name="Z_DE5B7886_4BB5_4BFA_B6B7_1534718A9F64_.wvu.PrintArea" localSheetId="2" hidden="1">PPE!$B$1:$E$50</definedName>
    <definedName name="ZusNach">[1]Cockpit!$F$30:$G$30</definedName>
  </definedNames>
  <calcPr calcId="191029"/>
  <customWorkbookViews>
    <customWorkbookView name="Hasler Kathrin BWO - Persönliche Ansicht" guid="{DE5B7886-4BB5-4BFA-B6B7-1534718A9F64}" mergeInterval="0" personalView="1" maximized="1" xWindow="-11" yWindow="-11" windowWidth="1942" windowHeight="1102" activeSheetId="1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1" l="1"/>
  <c r="T11" i="11"/>
  <c r="S11" i="11"/>
  <c r="M6" i="11" l="1"/>
  <c r="E21" i="11" l="1"/>
  <c r="D36" i="13"/>
  <c r="D36" i="15"/>
  <c r="I2" i="4" l="1" a="1"/>
  <c r="I2" i="4" s="1"/>
  <c r="H2" i="4" a="1"/>
  <c r="H2" i="4" s="1"/>
  <c r="G2" i="4" a="1"/>
  <c r="G2" i="4" s="1"/>
  <c r="L4" i="11" l="1"/>
  <c r="M4" i="11"/>
  <c r="N4" i="11"/>
  <c r="O4" i="11"/>
  <c r="P4" i="11"/>
  <c r="Q4" i="11"/>
  <c r="R4" i="11"/>
  <c r="S4" i="11"/>
  <c r="T4" i="11"/>
  <c r="U4" i="11"/>
  <c r="L5" i="11"/>
  <c r="M5" i="11"/>
  <c r="N5" i="11"/>
  <c r="O5" i="11"/>
  <c r="P5" i="11"/>
  <c r="Q5" i="11"/>
  <c r="R5" i="11"/>
  <c r="S5" i="11"/>
  <c r="T5" i="11"/>
  <c r="U5" i="11"/>
  <c r="L6" i="11"/>
  <c r="N6" i="11"/>
  <c r="O6" i="11"/>
  <c r="P6" i="11"/>
  <c r="Q6" i="11"/>
  <c r="R6" i="11"/>
  <c r="S6" i="11"/>
  <c r="T6" i="11"/>
  <c r="U6" i="11"/>
  <c r="L7" i="11"/>
  <c r="M7" i="11"/>
  <c r="N7" i="11"/>
  <c r="O7" i="11"/>
  <c r="P7" i="11"/>
  <c r="Q7" i="11"/>
  <c r="R7" i="11"/>
  <c r="S7" i="11"/>
  <c r="T7" i="11"/>
  <c r="U7" i="11"/>
  <c r="L8" i="11"/>
  <c r="M8" i="11"/>
  <c r="N8" i="11"/>
  <c r="O8" i="11"/>
  <c r="P8" i="11"/>
  <c r="Q8" i="11"/>
  <c r="R8" i="11"/>
  <c r="S8" i="11"/>
  <c r="T8" i="11"/>
  <c r="U8" i="11"/>
  <c r="L9" i="11"/>
  <c r="M9" i="11"/>
  <c r="N9" i="11"/>
  <c r="O9" i="11"/>
  <c r="P9" i="11"/>
  <c r="Q9" i="11"/>
  <c r="R9" i="11"/>
  <c r="S9" i="11"/>
  <c r="T9" i="11"/>
  <c r="U9" i="11"/>
  <c r="H28" i="16"/>
  <c r="J7" i="16"/>
  <c r="J12" i="16" s="1"/>
  <c r="J6" i="16"/>
  <c r="F19" i="16" s="1"/>
  <c r="H4" i="16"/>
  <c r="H2" i="16"/>
  <c r="J18" i="16" l="1"/>
  <c r="J20" i="16" s="1"/>
  <c r="J22" i="16"/>
  <c r="G27" i="16" s="1"/>
  <c r="J8" i="16"/>
  <c r="J13" i="16"/>
  <c r="J14" i="16" s="1"/>
  <c r="G30" i="16"/>
  <c r="J30" i="16" s="1"/>
  <c r="D39" i="1"/>
  <c r="D37" i="15"/>
  <c r="F36" i="15" s="1"/>
  <c r="D37" i="13"/>
  <c r="D40" i="1"/>
  <c r="F36" i="13" l="1"/>
  <c r="J23" i="16"/>
  <c r="J24" i="16" s="1"/>
  <c r="J27" i="16"/>
  <c r="U19" i="11"/>
  <c r="U23" i="11" s="1"/>
  <c r="T19" i="11"/>
  <c r="T20" i="11" s="1"/>
  <c r="S19" i="11"/>
  <c r="S20" i="11" s="1"/>
  <c r="S3" i="11"/>
  <c r="C6" i="15"/>
  <c r="E24" i="11"/>
  <c r="H24" i="11" s="1"/>
  <c r="E25" i="11"/>
  <c r="H25" i="11" s="1"/>
  <c r="C33" i="15"/>
  <c r="E22" i="11"/>
  <c r="H22" i="11" s="1"/>
  <c r="H21" i="11"/>
  <c r="E18" i="11"/>
  <c r="H18" i="11" s="1"/>
  <c r="W20" i="11"/>
  <c r="X20" i="11"/>
  <c r="Y20" i="11"/>
  <c r="W21" i="11"/>
  <c r="X21" i="11"/>
  <c r="Y21" i="11"/>
  <c r="W22" i="11"/>
  <c r="X22" i="11"/>
  <c r="Y22" i="11"/>
  <c r="W23" i="11"/>
  <c r="X23" i="11"/>
  <c r="Y23" i="11"/>
  <c r="W24" i="11"/>
  <c r="X24" i="11"/>
  <c r="Y24" i="11"/>
  <c r="W25" i="11"/>
  <c r="X25" i="11"/>
  <c r="Y25" i="11"/>
  <c r="V21" i="11"/>
  <c r="V22" i="11"/>
  <c r="V23" i="11"/>
  <c r="V24" i="11"/>
  <c r="V25" i="11"/>
  <c r="V20" i="11"/>
  <c r="W12" i="11"/>
  <c r="X12" i="11"/>
  <c r="Y12" i="11"/>
  <c r="W13" i="11"/>
  <c r="X13" i="11"/>
  <c r="Y13" i="11"/>
  <c r="W14" i="11"/>
  <c r="X14" i="11"/>
  <c r="Y14" i="11"/>
  <c r="W15" i="11"/>
  <c r="X15" i="11"/>
  <c r="Y15" i="11"/>
  <c r="W16" i="11"/>
  <c r="X16" i="11"/>
  <c r="Y16" i="11"/>
  <c r="W17" i="11"/>
  <c r="X17" i="11"/>
  <c r="Y17" i="11"/>
  <c r="V13" i="11"/>
  <c r="V14" i="11"/>
  <c r="V15" i="11"/>
  <c r="V16" i="11"/>
  <c r="V17" i="11"/>
  <c r="V12" i="11"/>
  <c r="N21" i="11"/>
  <c r="O21" i="11"/>
  <c r="P21" i="11"/>
  <c r="Q21" i="11"/>
  <c r="R21" i="11"/>
  <c r="N22" i="11"/>
  <c r="O22" i="11"/>
  <c r="P22" i="11"/>
  <c r="Q22" i="11"/>
  <c r="R22" i="11"/>
  <c r="N23" i="11"/>
  <c r="O23" i="11"/>
  <c r="P23" i="11"/>
  <c r="Q23" i="11"/>
  <c r="R23" i="11"/>
  <c r="N24" i="11"/>
  <c r="O24" i="11"/>
  <c r="P24" i="11"/>
  <c r="Q24" i="11"/>
  <c r="R24" i="11"/>
  <c r="N25" i="11"/>
  <c r="O25" i="11"/>
  <c r="P25" i="11"/>
  <c r="Q25" i="11"/>
  <c r="R25" i="11"/>
  <c r="O20" i="11"/>
  <c r="P20" i="11"/>
  <c r="Q20" i="11"/>
  <c r="R20" i="11"/>
  <c r="N20" i="11"/>
  <c r="U15" i="11"/>
  <c r="T13" i="11"/>
  <c r="S13" i="11"/>
  <c r="R13" i="11"/>
  <c r="R14" i="11"/>
  <c r="R15" i="11"/>
  <c r="R16" i="11"/>
  <c r="R17" i="11"/>
  <c r="Q13" i="11"/>
  <c r="Q14" i="11"/>
  <c r="Q15" i="11"/>
  <c r="Q16" i="11"/>
  <c r="Q17" i="11"/>
  <c r="P13" i="11"/>
  <c r="P14" i="11"/>
  <c r="P15" i="11"/>
  <c r="P16" i="11"/>
  <c r="P17" i="11"/>
  <c r="O13" i="11"/>
  <c r="O14" i="11"/>
  <c r="O15" i="11"/>
  <c r="O16" i="11"/>
  <c r="O17" i="11"/>
  <c r="Q12" i="11"/>
  <c r="R12" i="11"/>
  <c r="P12" i="11"/>
  <c r="O12" i="11"/>
  <c r="N13" i="11"/>
  <c r="N14" i="11"/>
  <c r="N15" i="11"/>
  <c r="N16" i="11"/>
  <c r="N17" i="11"/>
  <c r="N12" i="11"/>
  <c r="M13" i="11"/>
  <c r="M14" i="11"/>
  <c r="M15" i="11"/>
  <c r="M16" i="11"/>
  <c r="M17" i="11"/>
  <c r="M12" i="11"/>
  <c r="C6" i="13"/>
  <c r="E30" i="15" l="1"/>
  <c r="E32" i="15"/>
  <c r="E31" i="15"/>
  <c r="C9" i="13"/>
  <c r="E24" i="13" s="1"/>
  <c r="G28" i="16"/>
  <c r="E23" i="16"/>
  <c r="C18" i="13"/>
  <c r="C17" i="13"/>
  <c r="C16" i="13"/>
  <c r="C19" i="13"/>
  <c r="C19" i="15"/>
  <c r="E47" i="15" s="1"/>
  <c r="C18" i="15"/>
  <c r="C17" i="15"/>
  <c r="C16" i="15"/>
  <c r="E40" i="15" s="1"/>
  <c r="J22" i="11"/>
  <c r="C10" i="13"/>
  <c r="C14" i="13"/>
  <c r="C12" i="13"/>
  <c r="C13" i="13"/>
  <c r="C11" i="13"/>
  <c r="C10" i="15"/>
  <c r="E25" i="15" s="1"/>
  <c r="C12" i="15"/>
  <c r="E27" i="15" s="1"/>
  <c r="C14" i="15"/>
  <c r="E29" i="15" s="1"/>
  <c r="C13" i="15"/>
  <c r="E28" i="15" s="1"/>
  <c r="C11" i="15"/>
  <c r="E26" i="15" s="1"/>
  <c r="I21" i="11"/>
  <c r="I22" i="11"/>
  <c r="J21" i="11"/>
  <c r="I24" i="11"/>
  <c r="J24" i="11"/>
  <c r="J25" i="11"/>
  <c r="I25" i="11"/>
  <c r="T14" i="11"/>
  <c r="T15" i="11"/>
  <c r="U25" i="11"/>
  <c r="U24" i="11"/>
  <c r="U22" i="11"/>
  <c r="U21" i="11"/>
  <c r="T12" i="11"/>
  <c r="U20" i="11"/>
  <c r="T25" i="11"/>
  <c r="T24" i="11"/>
  <c r="T23" i="11"/>
  <c r="T22" i="11"/>
  <c r="T21" i="11"/>
  <c r="T17" i="11"/>
  <c r="S25" i="11"/>
  <c r="S24" i="11"/>
  <c r="S23" i="11"/>
  <c r="S22" i="11"/>
  <c r="S21" i="11"/>
  <c r="U14" i="11"/>
  <c r="U13" i="11"/>
  <c r="U12" i="11"/>
  <c r="U17" i="11"/>
  <c r="U16" i="11"/>
  <c r="E32" i="13" s="1"/>
  <c r="T16" i="11"/>
  <c r="E31" i="13" s="1"/>
  <c r="S16" i="11"/>
  <c r="E30" i="13" s="1"/>
  <c r="S12" i="11"/>
  <c r="S14" i="11"/>
  <c r="S17" i="11"/>
  <c r="S15" i="11"/>
  <c r="J28" i="16" l="1"/>
  <c r="G29" i="16"/>
  <c r="J29" i="16" s="1"/>
  <c r="G22" i="11"/>
  <c r="E36" i="15"/>
  <c r="G21" i="11"/>
  <c r="G25" i="11"/>
  <c r="G24" i="11"/>
  <c r="E43" i="15"/>
  <c r="E45" i="15"/>
  <c r="E42" i="15"/>
  <c r="E44" i="15"/>
  <c r="E41" i="15"/>
  <c r="E37" i="15" l="1"/>
  <c r="E34" i="15"/>
  <c r="J32" i="16"/>
  <c r="E49" i="15"/>
  <c r="E38" i="15" l="1"/>
  <c r="E50" i="15" s="1"/>
  <c r="J34" i="16"/>
  <c r="J37" i="16" s="1"/>
  <c r="C33" i="13"/>
  <c r="E29" i="13"/>
  <c r="E25" i="13" l="1"/>
  <c r="E47" i="13"/>
  <c r="E26" i="13"/>
  <c r="E27" i="13"/>
  <c r="E28" i="13"/>
  <c r="E43" i="13" l="1"/>
  <c r="E40" i="13"/>
  <c r="E45" i="13"/>
  <c r="E42" i="13"/>
  <c r="E44" i="13"/>
  <c r="E41" i="13"/>
  <c r="C6" i="1"/>
  <c r="E19" i="11"/>
  <c r="H19" i="11" s="1"/>
  <c r="U3" i="11"/>
  <c r="T3" i="11"/>
  <c r="C33" i="1"/>
  <c r="C18" i="1" l="1"/>
  <c r="C17" i="1"/>
  <c r="C19" i="1"/>
  <c r="E50" i="1" s="1"/>
  <c r="C16" i="1"/>
  <c r="C8" i="1"/>
  <c r="E23" i="1" s="1"/>
  <c r="C13" i="1"/>
  <c r="E28" i="1" s="1"/>
  <c r="C14" i="1"/>
  <c r="C12" i="1"/>
  <c r="C11" i="1"/>
  <c r="C10" i="1"/>
  <c r="C9" i="1"/>
  <c r="J18" i="11"/>
  <c r="I19" i="11"/>
  <c r="I18" i="11"/>
  <c r="E49" i="13"/>
  <c r="E31" i="1"/>
  <c r="J19" i="11"/>
  <c r="E32" i="1"/>
  <c r="E30" i="1"/>
  <c r="E26" i="1" l="1"/>
  <c r="E29" i="1"/>
  <c r="E24" i="1"/>
  <c r="E25" i="1"/>
  <c r="E27" i="1"/>
  <c r="G18" i="11"/>
  <c r="E35" i="1" s="1"/>
  <c r="G19" i="11"/>
  <c r="E44" i="1"/>
  <c r="E47" i="1"/>
  <c r="E48" i="1"/>
  <c r="E45" i="1"/>
  <c r="E43" i="1"/>
  <c r="E46" i="1"/>
  <c r="E36" i="13" l="1"/>
  <c r="E37" i="13"/>
  <c r="E33" i="1"/>
  <c r="E39" i="1"/>
  <c r="E34" i="13"/>
  <c r="E38" i="13" s="1"/>
  <c r="E36" i="1"/>
  <c r="E37" i="1" s="1"/>
  <c r="E52" i="1"/>
  <c r="E50" i="13" l="1"/>
  <c r="E6" i="16" s="1"/>
  <c r="E40" i="1"/>
  <c r="E41" i="1" l="1"/>
  <c r="E5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<sst xmlns="http://schemas.openxmlformats.org/spreadsheetml/2006/main" count="1960" uniqueCount="519">
  <si>
    <t>Nebenraum</t>
  </si>
  <si>
    <t>Fr.</t>
  </si>
  <si>
    <t>Kanton</t>
  </si>
  <si>
    <t>Miete</t>
  </si>
  <si>
    <t>STWE</t>
  </si>
  <si>
    <t>EFH</t>
  </si>
  <si>
    <t>V</t>
  </si>
  <si>
    <t>VI</t>
  </si>
  <si>
    <t>IV</t>
  </si>
  <si>
    <t>III</t>
  </si>
  <si>
    <t>II</t>
  </si>
  <si>
    <t>I</t>
  </si>
  <si>
    <t>VD</t>
  </si>
  <si>
    <t>Garage, EHP
Innenabstellplatz 10 Zweiräder</t>
  </si>
  <si>
    <t>ged. PP
ged. Abstellplatz 10 Zweiräder</t>
  </si>
  <si>
    <t>PP im Freien
10 Zweiräder im Freien</t>
  </si>
  <si>
    <t>Standard énergétique</t>
  </si>
  <si>
    <t>…</t>
  </si>
  <si>
    <t>Faktoren gebäudespezifisch</t>
  </si>
  <si>
    <t>Wohnungen</t>
  </si>
  <si>
    <t>Geschosshöhe</t>
  </si>
  <si>
    <t>Basiskosten Installation Küche</t>
  </si>
  <si>
    <t>zusätzliches Küchenelement</t>
  </si>
  <si>
    <t>Basiskosten Sanitärraum gross (B/WC/L)</t>
  </si>
  <si>
    <t>Basiskosten Sanitärraum klein (WC/L)</t>
  </si>
  <si>
    <t>1</t>
  </si>
  <si>
    <t>3</t>
  </si>
  <si>
    <t>4</t>
  </si>
  <si>
    <t>5</t>
  </si>
  <si>
    <t>6</t>
  </si>
  <si>
    <t>7</t>
  </si>
  <si>
    <t>2</t>
  </si>
  <si>
    <t>m3-Preis Whg</t>
  </si>
  <si>
    <t>m3-Preis NR</t>
  </si>
  <si>
    <t>m3-Preis PAB</t>
  </si>
  <si>
    <t>m3-Preis GA</t>
  </si>
  <si>
    <t>GH</t>
  </si>
  <si>
    <t>ZI</t>
  </si>
  <si>
    <t>Basiskosten BKB</t>
  </si>
  <si>
    <t>Betrag für KE</t>
  </si>
  <si>
    <t>Betrag für SRG</t>
  </si>
  <si>
    <t>Betrag für SRK</t>
  </si>
  <si>
    <t>Anteil Erschliessung</t>
  </si>
  <si>
    <t>Nebenräume (Whg / 2)</t>
  </si>
  <si>
    <t>Aussenbereich privat (Whg / 2.5)</t>
  </si>
  <si>
    <t>Aussenbereich gemeinsam (Whg / 3)</t>
  </si>
  <si>
    <t>m</t>
  </si>
  <si>
    <t>Zimmergrösse</t>
  </si>
  <si>
    <t>m²</t>
  </si>
  <si>
    <t>Erschliessung Whg (NWF inkl. Instal.)</t>
  </si>
  <si>
    <t>%</t>
  </si>
  <si>
    <t>GEBÄUDE</t>
  </si>
  <si>
    <r>
      <t>Fr./m</t>
    </r>
    <r>
      <rPr>
        <vertAlign val="superscript"/>
        <sz val="8"/>
        <rFont val="Arial"/>
        <family val="2"/>
      </rPr>
      <t>3</t>
    </r>
  </si>
  <si>
    <t>KOSTENSTUFE</t>
  </si>
  <si>
    <t>KORREKTURFAKTOR</t>
  </si>
  <si>
    <t>LANDPREISINDEX</t>
  </si>
  <si>
    <t>NEUBAU</t>
  </si>
  <si>
    <t>Zuschlag in %</t>
  </si>
  <si>
    <t>Darlehensbetrag</t>
  </si>
  <si>
    <t>Gemeinde</t>
  </si>
  <si>
    <t>LEA Stufe Silber, zertifiziert</t>
  </si>
  <si>
    <t>LEA Stufe Gold, zertifiziert</t>
  </si>
  <si>
    <t>LEA Stufe Platin, zertifiziert</t>
  </si>
  <si>
    <t>BWO-Merkblatt "Gestaltung von altersgerechten Wohnbauten"</t>
  </si>
  <si>
    <r>
      <t xml:space="preserve">Gemeinschaftsraum  </t>
    </r>
    <r>
      <rPr>
        <i/>
        <sz val="10"/>
        <color theme="1"/>
        <rFont val="Arial"/>
        <family val="2"/>
      </rPr>
      <t xml:space="preserve">                 </t>
    </r>
    <r>
      <rPr>
        <i/>
        <sz val="8"/>
        <color theme="1"/>
        <rFont val="Arial"/>
        <family val="2"/>
      </rPr>
      <t>Hauptnutzfläche Raum HNF (m</t>
    </r>
    <r>
      <rPr>
        <sz val="8"/>
        <color theme="1"/>
        <rFont val="Arial"/>
        <family val="2"/>
      </rPr>
      <t>²</t>
    </r>
    <r>
      <rPr>
        <i/>
        <sz val="8"/>
        <color theme="1"/>
        <rFont val="Arial"/>
        <family val="2"/>
      </rPr>
      <t>) =</t>
    </r>
  </si>
  <si>
    <r>
      <t xml:space="preserve">Zumietbare Zimmer                  </t>
    </r>
    <r>
      <rPr>
        <i/>
        <sz val="8"/>
        <color theme="1"/>
        <rFont val="Arial"/>
        <family val="2"/>
      </rPr>
      <t>Hauptnutzfläche Zimmer HNF (m²) =</t>
    </r>
  </si>
  <si>
    <t>Landanteil</t>
  </si>
  <si>
    <t>Korrekturfaktor</t>
  </si>
  <si>
    <t>Volumen (HNF * (110% (Sprungmass Gem.raum))) * m3-Preis</t>
  </si>
  <si>
    <t>Hindernisfreie Bauten</t>
  </si>
  <si>
    <t>Constructions sans obstacles</t>
  </si>
  <si>
    <t>Costruzione senza ostacoli</t>
  </si>
  <si>
    <t>LEA - Niveau de cértification "argent"</t>
  </si>
  <si>
    <t>LEA - Niveau de cértification "or"</t>
  </si>
  <si>
    <t>LEA - Niveau de cértification "platine"</t>
  </si>
  <si>
    <t>LEA - Livello del certificazione "argento"</t>
  </si>
  <si>
    <t>LEA - Livello del certificazione "oro"</t>
  </si>
  <si>
    <t>LEA - Livello del certificazione "platino"</t>
  </si>
  <si>
    <t>Aide-mémoire "Conception de bâtiments d’habitation adaptés aux personnes âgées"</t>
  </si>
  <si>
    <t>Promemoria "Concezione di abitazioni destinate agli anziani"</t>
  </si>
  <si>
    <t>Hindernisfrei nach Norm SIA 500</t>
  </si>
  <si>
    <t>Sans obstacles selon la Norme SIA 500</t>
  </si>
  <si>
    <t>Senza ostacoli secondo la norma SIA 500</t>
  </si>
  <si>
    <t>(Dropdown)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</si>
  <si>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</si>
  <si>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</si>
  <si>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</si>
  <si>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</si>
  <si>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</si>
  <si>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</si>
  <si>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</si>
  <si>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</si>
  <si>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</si>
  <si>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</si>
  <si>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</si>
  <si>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</si>
  <si>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</si>
  <si>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</si>
  <si>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</si>
  <si>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</si>
  <si>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</si>
  <si>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</si>
  <si>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</si>
  <si>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</si>
  <si>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</si>
  <si>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</si>
  <si>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</si>
  <si>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</si>
  <si>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</si>
  <si>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</si>
  <si>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</si>
  <si>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</si>
  <si>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</si>
  <si>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</si>
  <si>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</si>
  <si>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</si>
  <si>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</si>
  <si>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</si>
  <si>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</si>
  <si>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</si>
  <si>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</si>
  <si>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</si>
  <si>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</si>
  <si>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</si>
  <si>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</si>
  <si>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</si>
  <si>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</si>
  <si>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</si>
  <si>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</si>
  <si>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</si>
  <si>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</si>
  <si>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</si>
  <si>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</si>
  <si>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</si>
  <si>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</si>
  <si>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</si>
  <si>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</si>
  <si>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</si>
  <si>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</si>
  <si>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</si>
  <si>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</si>
  <si>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</si>
  <si>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</si>
  <si>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</si>
  <si>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</si>
  <si>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</si>
  <si>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</si>
  <si>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</si>
  <si>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</si>
  <si>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</si>
  <si>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</si>
  <si>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</si>
  <si>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</si>
  <si>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</si>
  <si>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</si>
  <si>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</si>
  <si>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</si>
  <si>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</si>
  <si>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</si>
  <si>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</si>
  <si>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</si>
  <si>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</si>
  <si>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</si>
  <si>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</si>
  <si>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</si>
  <si>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</si>
  <si>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</si>
  <si>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</si>
  <si>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</si>
  <si>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</si>
  <si>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</si>
  <si>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</si>
  <si>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</si>
  <si>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</si>
  <si>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</si>
  <si>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</si>
  <si>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</si>
  <si>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</si>
  <si>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</si>
  <si>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</si>
  <si>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</si>
  <si>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</si>
  <si>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</si>
  <si>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</si>
  <si>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</si>
  <si>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</si>
  <si>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</si>
  <si>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</si>
  <si>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</si>
  <si>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</si>
  <si>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</si>
  <si>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</si>
  <si>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</si>
  <si>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</si>
  <si>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</si>
  <si>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</si>
  <si>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</si>
  <si>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</si>
  <si>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</si>
  <si>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</si>
  <si>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</si>
  <si>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</si>
  <si>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</si>
  <si>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</si>
  <si>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</si>
  <si>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</si>
  <si>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</si>
  <si>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</si>
  <si>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</si>
  <si>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</si>
  <si>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</si>
  <si>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</si>
  <si>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</si>
  <si>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</si>
  <si>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</si>
  <si>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</si>
  <si>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</si>
  <si>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</si>
  <si>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</si>
  <si>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</si>
  <si>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</si>
  <si>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</si>
  <si>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</si>
  <si>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</si>
  <si>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</si>
  <si>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</si>
  <si>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</si>
  <si>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</si>
  <si>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</si>
  <si>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</si>
  <si>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</si>
  <si>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</si>
  <si>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</si>
  <si>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</si>
  <si>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</si>
  <si>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</si>
  <si>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</si>
  <si>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</si>
  <si>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</si>
  <si>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</si>
  <si>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</si>
  <si>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</si>
  <si>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</si>
  <si>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</si>
  <si>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</si>
  <si>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</si>
  <si>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</si>
  <si>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</si>
  <si>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</si>
  <si>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</si>
  <si>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</si>
  <si>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</si>
  <si>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</si>
  <si>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</si>
  <si>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</si>
  <si>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</si>
  <si>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</si>
  <si>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</si>
  <si>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</si>
  <si>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</si>
  <si>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</si>
  <si>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</si>
  <si>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</si>
  <si>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</si>
  <si>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</si>
  <si>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</si>
  <si>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</si>
  <si>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</si>
  <si>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</si>
  <si>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</si>
  <si>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</si>
  <si>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</si>
  <si>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</si>
  <si>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</si>
  <si>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</si>
  <si>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</si>
  <si>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</si>
  <si>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</si>
  <si>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</si>
  <si>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</si>
  <si>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</si>
  <si>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</si>
  <si>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</si>
  <si>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</si>
  <si>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</si>
  <si>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</si>
  <si>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</si>
  <si>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</si>
  <si>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</si>
  <si>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</si>
  <si>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</si>
  <si>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</si>
  <si>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</si>
  <si>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</si>
  <si>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</si>
  <si>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</si>
  <si>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</si>
  <si>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</si>
  <si>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</si>
  <si>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</si>
  <si>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</si>
  <si>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</si>
  <si>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</si>
  <si>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</si>
  <si>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</si>
  <si>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</si>
  <si>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</si>
  <si>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</si>
  <si>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</si>
  <si>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</si>
  <si>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</si>
  <si>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</si>
  <si>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</si>
  <si>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</si>
  <si>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</si>
  <si>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</si>
  <si>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</si>
  <si>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</si>
  <si>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</si>
  <si>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</si>
  <si>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</si>
  <si>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</si>
  <si>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</si>
  <si>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</si>
  <si>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</si>
  <si>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</si>
  <si>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</si>
  <si>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</si>
  <si>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</si>
  <si>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</si>
  <si>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</si>
  <si>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</si>
  <si>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</si>
  <si>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</si>
  <si>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</si>
  <si>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</si>
  <si>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</si>
  <si>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</si>
  <si>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</si>
  <si>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</si>
  <si>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</si>
  <si>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</si>
  <si>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</si>
  <si>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</si>
  <si>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</si>
  <si>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</si>
  <si>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</si>
  <si>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</si>
  <si>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</si>
  <si>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</si>
  <si>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</si>
  <si>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</si>
  <si>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</si>
  <si>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</si>
  <si>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</si>
  <si>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</si>
  <si>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</si>
  <si>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</si>
  <si>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</si>
  <si>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</si>
  <si>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</si>
  <si>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</si>
  <si>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</si>
  <si>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</si>
  <si>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</si>
  <si>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</si>
  <si>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</si>
  <si>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</si>
  <si>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</si>
  <si>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</si>
  <si>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</si>
  <si>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</si>
  <si>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</si>
  <si>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</si>
  <si>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</si>
  <si>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</si>
  <si>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</si>
  <si>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</si>
  <si>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</si>
  <si>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</si>
  <si>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</si>
  <si>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</si>
  <si>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</si>
  <si>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Dropdown Hilfstabelle</t>
  </si>
  <si>
    <t>(R-)EFH</t>
  </si>
  <si>
    <t>MIETE</t>
  </si>
  <si>
    <t>Miete / STWE</t>
  </si>
  <si>
    <t>-</t>
  </si>
  <si>
    <t xml:space="preserve">NEBENRÄUME  </t>
  </si>
  <si>
    <t>KOSTENLIMITEN</t>
  </si>
  <si>
    <t>Miete / STWE / (R-)EFH</t>
  </si>
  <si>
    <t>CALCUL DES LIMITES DES COÛTS DE REVIENT ADMISSIBLES - Logements locatifs</t>
  </si>
  <si>
    <t>Maître d'ouvrage:</t>
  </si>
  <si>
    <t>Adresse du projet:</t>
  </si>
  <si>
    <r>
      <t xml:space="preserve">Situation de l'immeuble d'habitation: 
</t>
    </r>
    <r>
      <rPr>
        <b/>
        <i/>
        <sz val="8"/>
        <color theme="1"/>
        <rFont val="Arial"/>
        <family val="2"/>
      </rPr>
      <t>Saisir la commune / confirmer dans le menu déroulant &gt;</t>
    </r>
  </si>
  <si>
    <t>Catégorie de coûts:</t>
  </si>
  <si>
    <t xml:space="preserve">1 pièce </t>
  </si>
  <si>
    <t>2 pièces</t>
  </si>
  <si>
    <t xml:space="preserve">3 pièces </t>
  </si>
  <si>
    <t xml:space="preserve">4 pièces </t>
  </si>
  <si>
    <t xml:space="preserve">5 pièces </t>
  </si>
  <si>
    <t>6 pièces</t>
  </si>
  <si>
    <t>7 pièces</t>
  </si>
  <si>
    <t xml:space="preserve">     Garage, PP en Sous-S, Stat. int. pour 10 vélos</t>
  </si>
  <si>
    <t xml:space="preserve">     PP couverte, Stat. couvert pour 10 vélos</t>
  </si>
  <si>
    <t xml:space="preserve">     PP en plein air, stat. en plein air pour 10 vélos</t>
  </si>
  <si>
    <t xml:space="preserve">     Local annexe</t>
  </si>
  <si>
    <t>Logements</t>
  </si>
  <si>
    <t>pièce</t>
  </si>
  <si>
    <t>pièces</t>
  </si>
  <si>
    <t>pièces (&gt;7 pièces)</t>
  </si>
  <si>
    <t>Nbre total de logements</t>
  </si>
  <si>
    <r>
      <t xml:space="preserve">Local commun  </t>
    </r>
    <r>
      <rPr>
        <i/>
        <sz val="10"/>
        <rFont val="Arial"/>
        <family val="2"/>
      </rPr>
      <t xml:space="preserve">                      </t>
    </r>
    <r>
      <rPr>
        <i/>
        <sz val="8"/>
        <rFont val="Arial"/>
        <family val="2"/>
      </rPr>
      <t>Surface utile principale SUP (m</t>
    </r>
    <r>
      <rPr>
        <sz val="8"/>
        <rFont val="Arial"/>
        <family val="2"/>
      </rPr>
      <t>²</t>
    </r>
    <r>
      <rPr>
        <i/>
        <sz val="8"/>
        <rFont val="Arial"/>
        <family val="2"/>
      </rPr>
      <t>) =</t>
    </r>
  </si>
  <si>
    <r>
      <t xml:space="preserve">Pièce d'appoint, pièce "joker"    </t>
    </r>
    <r>
      <rPr>
        <i/>
        <sz val="8"/>
        <rFont val="Arial"/>
        <family val="2"/>
      </rPr>
      <t>Surface utile principale SUP (m²) =</t>
    </r>
  </si>
  <si>
    <t>Total pour la partie habitation</t>
  </si>
  <si>
    <t>Total intermédiaire pour les parties habitables, suppléments inclus</t>
  </si>
  <si>
    <t>Garage, PP en Sous-Sol</t>
  </si>
  <si>
    <t>PP couvertes</t>
  </si>
  <si>
    <t>PP en plein air</t>
  </si>
  <si>
    <t>Stationnements intérieures pour vélos</t>
  </si>
  <si>
    <t>Stationnements couvertes pour vélos</t>
  </si>
  <si>
    <t>Stationnements en plein aire pour vélos</t>
  </si>
  <si>
    <t>Local annexe 
(p. ex. local de bicolage, généralement non chauffée)</t>
  </si>
  <si>
    <t>Total intermédiaire pour le stationnement et les locaux annexes</t>
  </si>
  <si>
    <t>Dépenses supplém. imputables p. ex. en raison d'un mauvais terrain à bâtir</t>
  </si>
  <si>
    <t>Limite des coûts de revient admissible</t>
  </si>
  <si>
    <t>Quantité</t>
  </si>
  <si>
    <r>
      <t xml:space="preserve">REMARQUE
Saisir en premier lieu la commune. 
</t>
    </r>
    <r>
      <rPr>
        <sz val="7.5"/>
        <color rgb="FFFF0000"/>
        <rFont val="Arial"/>
        <family val="2"/>
      </rPr>
      <t>Le calcul de la limite de coûts ne peut être effectué que si la commune et donc le niveau de coûts sont connus.</t>
    </r>
  </si>
  <si>
    <t>CALCUL DES LIMITES DES COÛTS DE REVIENT ADMISSIBLES - Propriété par étage</t>
  </si>
  <si>
    <t>Facteur de majoration des limites en %</t>
  </si>
  <si>
    <t>Objet visé :</t>
  </si>
  <si>
    <t>a)</t>
  </si>
  <si>
    <t>Prix de vente :</t>
  </si>
  <si>
    <t>Logement de</t>
  </si>
  <si>
    <t>b)</t>
  </si>
  <si>
    <t>Autres : Travaux, taxes, etc.</t>
  </si>
  <si>
    <t>c)</t>
  </si>
  <si>
    <t>Mettre un test : j6 &lt;= e6</t>
  </si>
  <si>
    <t>d)</t>
  </si>
  <si>
    <t>Frais ordinaires d'acquisition : environ 5.0% de a)</t>
  </si>
  <si>
    <t>f)</t>
  </si>
  <si>
    <t>Total</t>
  </si>
  <si>
    <t xml:space="preserve"> </t>
  </si>
  <si>
    <t>Apport ordinaire de fonds propres</t>
  </si>
  <si>
    <t>Apport ordinaire en fonds propres</t>
  </si>
  <si>
    <t>100% de d)</t>
  </si>
  <si>
    <t>20% de c)</t>
  </si>
  <si>
    <t>Total apport ordinaire</t>
  </si>
  <si>
    <t>Financement et apport de fonds propres avec avantage CVCH</t>
  </si>
  <si>
    <t>Apport en fonds propres (hors prévoyance LPP)</t>
  </si>
  <si>
    <t>g)</t>
  </si>
  <si>
    <r>
      <rPr>
        <sz val="11"/>
        <color indexed="8"/>
        <rFont val="Calibri"/>
        <family val="2"/>
      </rPr>
      <t xml:space="preserve">Financement des frais d'acquisition d) 100% par </t>
    </r>
    <r>
      <rPr>
        <b/>
        <sz val="11"/>
        <color indexed="8"/>
        <rFont val="Calibri"/>
        <family val="2"/>
      </rPr>
      <t>fonds propres cash</t>
    </r>
  </si>
  <si>
    <t>h)</t>
  </si>
  <si>
    <t xml:space="preserve">Fonds propres minimaux d'acquisition : </t>
  </si>
  <si>
    <t>ou plus</t>
  </si>
  <si>
    <t>Apport réel : &gt;</t>
  </si>
  <si>
    <t>i)</t>
  </si>
  <si>
    <t>Votre apport total de fonds propres</t>
  </si>
  <si>
    <t>Apport de fonds empruntés</t>
  </si>
  <si>
    <t>j)</t>
  </si>
  <si>
    <t>Hypothèque 1er rang</t>
  </si>
  <si>
    <t>de c)</t>
  </si>
  <si>
    <t>k)</t>
  </si>
  <si>
    <t>Hypothèque 2e rang</t>
  </si>
  <si>
    <t>l)</t>
  </si>
  <si>
    <t xml:space="preserve">Total de la mesure à financer </t>
  </si>
  <si>
    <t>Tenue des charges au taux théorique de résistance de 5.0%</t>
  </si>
  <si>
    <t>m)</t>
  </si>
  <si>
    <t>Hypothèques 1er rang</t>
  </si>
  <si>
    <t>n)</t>
  </si>
  <si>
    <t>o)</t>
  </si>
  <si>
    <t>Amortissement</t>
  </si>
  <si>
    <t>p)</t>
  </si>
  <si>
    <t xml:space="preserve">Frais généraux </t>
  </si>
  <si>
    <t>q)</t>
  </si>
  <si>
    <t>Si terrain avec droit de superficie (DDP), indiquer la rente annuelle :</t>
  </si>
  <si>
    <t>Charges annuelles</t>
  </si>
  <si>
    <t xml:space="preserve">Revenu brut déterminant </t>
  </si>
  <si>
    <t>r)</t>
  </si>
  <si>
    <t>Pension alimentaires payées</t>
  </si>
  <si>
    <t>s)</t>
  </si>
  <si>
    <t>Charges annuelles de leasing, petit crédit et cartes de crédit :</t>
  </si>
  <si>
    <t>Revenu brut minimum du ou des preneur(s) de crédit</t>
  </si>
  <si>
    <t>m2</t>
  </si>
  <si>
    <t>CHF m2</t>
  </si>
  <si>
    <t xml:space="preserve">Coût maximum </t>
  </si>
  <si>
    <t>Date de la simulation :</t>
  </si>
  <si>
    <t>selon onglets PPE ou Maison indiv.</t>
  </si>
  <si>
    <t>CALCUL DES LIMITES DES COÛTS DE REVIENT ADMISSIBLES - Maison individuelle - jumelée</t>
  </si>
  <si>
    <t>Blonay - Saint-Légier</t>
  </si>
  <si>
    <t>Nachhaltigkeitsstandard (zertifiziert)</t>
  </si>
  <si>
    <t>GEAK A/A/A, A/B/A, B/A/A</t>
  </si>
  <si>
    <t>MINERGIE; HPE</t>
  </si>
  <si>
    <t>MINERGIE-P; THPE</t>
  </si>
  <si>
    <t>MINERGIE-A</t>
  </si>
  <si>
    <t>MINERGIE-ECO</t>
  </si>
  <si>
    <t>MINERGIE-P-ECO</t>
  </si>
  <si>
    <t>MINERGIE-A-ECO</t>
  </si>
  <si>
    <t>MINERGIE-Areal</t>
  </si>
  <si>
    <t>SNBS-Hochbau Silber</t>
  </si>
  <si>
    <t>SNBS-Hochbau Gold</t>
  </si>
  <si>
    <t>SNBS-Hochbau Platin</t>
  </si>
  <si>
    <t>SNBS-Areal</t>
  </si>
  <si>
    <t>Standard de durabilité (certifié)</t>
  </si>
  <si>
    <t>CECB A/A/A, A/B/A, B/A/A</t>
  </si>
  <si>
    <t>MINERGIE-Quartier</t>
  </si>
  <si>
    <t>SNBS-Bâtiment Argent</t>
  </si>
  <si>
    <t>SNBS-Bâtiment Or</t>
  </si>
  <si>
    <t>SNBS-Bâtiment Platine</t>
  </si>
  <si>
    <t>SNBS-Quartier</t>
  </si>
  <si>
    <t>Standard di sostenibilità (certificato)</t>
  </si>
  <si>
    <t>CECE A/A/A, A/B/A, B/A/A</t>
  </si>
  <si>
    <t>MINERGIE-Quartiere</t>
  </si>
  <si>
    <t>SNBS-Edificion Argento</t>
  </si>
  <si>
    <t>SNBS-Edificion Oro</t>
  </si>
  <si>
    <t>SNBS-Edificion Platino</t>
  </si>
  <si>
    <t>Certificazione conformemente a SNBS-Quartiere</t>
  </si>
  <si>
    <t>ab Januar 2025
(in Kraft ab Jan. 2025)</t>
  </si>
  <si>
    <t>Total intermédiaire pour les parties habitables, suppléments inclus (max.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</si>
</sst>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0.0"/>
    <numFmt numFmtId="166" formatCode="_ [$CHF-807]\ * #,##0.00_ ;_ [$CHF-807]\ * \-#,##0.00_ ;_ [$CHF-807]\ * &quot;-&quot;??_ ;_ @_ "/>
    <numFmt numFmtId="167" formatCode="[$-807]d/\ mmmm\ yyyy;@"/>
    <numFmt numFmtId="168" formatCode="dd\.mm\.yy"/>
    <numFmt numFmtId="169" formatCode="&quot; &quot;* #,##0&quot;     &quot;;&quot;-&quot;* #,##0&quot;     &quot;;&quot; &quot;* &quot;-&quot;??&quot;     &quot;"/>
    <numFmt numFmtId="170" formatCode="&quot; &quot;* #,##0.00&quot;     &quot;;&quot;-&quot;* #,##0.00&quot;     &quot;;&quot; &quot;* &quot;-&quot;??&quot;     &quot;"/>
  </numFmts>
  <fonts count="89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theme="1"/>
      <name val="Verdana"/>
      <family val="2"/>
      <charset val="136"/>
    </font>
    <font>
      <i/>
      <sz val="9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8"/>
      <name val="Calibri Light"/>
      <family val="2"/>
      <scheme val="major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b/>
      <i/>
      <u/>
      <sz val="8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color indexed="8"/>
      <name val="Calibri Light"/>
      <family val="2"/>
      <scheme val="major"/>
    </font>
    <font>
      <i/>
      <sz val="7"/>
      <name val="Arial"/>
      <family val="2"/>
    </font>
    <font>
      <b/>
      <sz val="7.5"/>
      <color rgb="FFFF0000"/>
      <name val="Arial"/>
      <family val="2"/>
    </font>
    <font>
      <sz val="7.5"/>
      <color rgb="FFFF000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indexed="12"/>
      <name val="Calibri"/>
      <family val="2"/>
    </font>
    <font>
      <i/>
      <sz val="11"/>
      <color indexed="12"/>
      <name val="Calibri"/>
      <family val="2"/>
    </font>
    <font>
      <b/>
      <sz val="14"/>
      <color indexed="13"/>
      <name val="Calibri"/>
      <family val="2"/>
    </font>
    <font>
      <sz val="11"/>
      <color indexed="13"/>
      <name val="Calibri"/>
      <family val="2"/>
    </font>
    <font>
      <sz val="11"/>
      <color theme="0" tint="-0.499984740745262"/>
      <name val="Calibri"/>
      <family val="2"/>
    </font>
    <font>
      <b/>
      <sz val="14"/>
      <color theme="0" tint="-0.499984740745262"/>
      <name val="Calibri"/>
      <family val="2"/>
    </font>
    <font>
      <b/>
      <i/>
      <sz val="11"/>
      <color theme="0" tint="-0.499984740745262"/>
      <name val="Calibri"/>
      <family val="2"/>
    </font>
    <font>
      <i/>
      <sz val="11"/>
      <color theme="0" tint="-0.499984740745262"/>
      <name val="Calibri"/>
      <family val="2"/>
    </font>
    <font>
      <b/>
      <sz val="14"/>
      <color rgb="FFC00000"/>
      <name val="Calibri"/>
      <family val="2"/>
    </font>
    <font>
      <sz val="11"/>
      <color rgb="FFC00000"/>
      <name val="Calibri"/>
      <family val="2"/>
    </font>
    <font>
      <sz val="11"/>
      <color theme="0" tint="-4.9989318521683403E-2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10"/>
      <color theme="0"/>
      <name val="Arial"/>
      <family val="2"/>
    </font>
    <font>
      <b/>
      <i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7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ashed">
        <color indexed="8"/>
      </right>
      <top style="dotted">
        <color indexed="8"/>
      </top>
      <bottom style="dott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ash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8" applyNumberFormat="0" applyAlignment="0" applyProtection="0"/>
    <xf numFmtId="0" fontId="16" fillId="12" borderId="9" applyNumberFormat="0" applyAlignment="0" applyProtection="0"/>
    <xf numFmtId="0" fontId="17" fillId="5" borderId="9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43" fontId="4" fillId="0" borderId="0" applyFont="0" applyFill="0" applyBorder="0" applyAlignment="0" applyProtection="0"/>
    <xf numFmtId="0" fontId="21" fillId="13" borderId="0" applyNumberFormat="0" applyBorder="0" applyAlignment="0" applyProtection="0"/>
    <xf numFmtId="0" fontId="4" fillId="14" borderId="11" applyNumberFormat="0" applyFont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15" borderId="16" applyNumberFormat="0" applyAlignment="0" applyProtection="0"/>
    <xf numFmtId="0" fontId="30" fillId="0" borderId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70" fillId="0" borderId="0" applyNumberFormat="0" applyFill="0" applyBorder="0" applyProtection="0"/>
  </cellStyleXfs>
  <cellXfs count="338">
    <xf numFmtId="0" fontId="0" fillId="0" borderId="0" xfId="0"/>
    <xf numFmtId="0" fontId="6" fillId="0" borderId="0" xfId="0" applyFont="1"/>
    <xf numFmtId="3" fontId="4" fillId="0" borderId="0" xfId="3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7" fillId="0" borderId="7" xfId="0" applyFont="1" applyBorder="1"/>
    <xf numFmtId="3" fontId="7" fillId="0" borderId="0" xfId="0" applyNumberFormat="1" applyFont="1" applyAlignment="1">
      <alignment horizontal="right"/>
    </xf>
    <xf numFmtId="3" fontId="7" fillId="0" borderId="7" xfId="0" applyNumberFormat="1" applyFont="1" applyBorder="1"/>
    <xf numFmtId="3" fontId="7" fillId="0" borderId="0" xfId="0" applyNumberFormat="1" applyFont="1"/>
    <xf numFmtId="3" fontId="9" fillId="0" borderId="0" xfId="0" applyNumberFormat="1" applyFont="1" applyAlignment="1">
      <alignment horizontal="right"/>
    </xf>
    <xf numFmtId="0" fontId="11" fillId="0" borderId="0" xfId="0" applyFont="1"/>
    <xf numFmtId="3" fontId="11" fillId="0" borderId="7" xfId="0" applyNumberFormat="1" applyFont="1" applyBorder="1"/>
    <xf numFmtId="0" fontId="0" fillId="0" borderId="6" xfId="0" applyBorder="1"/>
    <xf numFmtId="0" fontId="4" fillId="0" borderId="0" xfId="6" applyAlignment="1">
      <alignment horizontal="center"/>
    </xf>
    <xf numFmtId="0" fontId="4" fillId="0" borderId="0" xfId="6"/>
    <xf numFmtId="0" fontId="31" fillId="0" borderId="0" xfId="0" applyFont="1"/>
    <xf numFmtId="0" fontId="9" fillId="0" borderId="4" xfId="0" applyFont="1" applyBorder="1" applyAlignment="1">
      <alignment horizontal="right"/>
    </xf>
    <xf numFmtId="0" fontId="9" fillId="0" borderId="5" xfId="0" applyFont="1" applyBorder="1"/>
    <xf numFmtId="9" fontId="32" fillId="0" borderId="0" xfId="1" applyFont="1"/>
    <xf numFmtId="0" fontId="32" fillId="0" borderId="0" xfId="0" applyFont="1"/>
    <xf numFmtId="3" fontId="33" fillId="0" borderId="0" xfId="3" applyNumberFormat="1" applyFont="1" applyFill="1" applyBorder="1" applyAlignment="1">
      <alignment horizontal="right" wrapText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/>
    <xf numFmtId="0" fontId="3" fillId="0" borderId="0" xfId="2" applyFont="1" applyAlignment="1">
      <alignment horizontal="left" indent="1"/>
    </xf>
    <xf numFmtId="0" fontId="10" fillId="0" borderId="3" xfId="0" applyFont="1" applyBorder="1"/>
    <xf numFmtId="3" fontId="0" fillId="0" borderId="0" xfId="0" applyNumberFormat="1"/>
    <xf numFmtId="0" fontId="8" fillId="0" borderId="6" xfId="0" applyFont="1" applyBorder="1"/>
    <xf numFmtId="0" fontId="6" fillId="0" borderId="6" xfId="0" applyFont="1" applyBorder="1"/>
    <xf numFmtId="0" fontId="0" fillId="0" borderId="21" xfId="0" applyBorder="1"/>
    <xf numFmtId="0" fontId="0" fillId="0" borderId="30" xfId="0" applyBorder="1"/>
    <xf numFmtId="0" fontId="7" fillId="0" borderId="6" xfId="0" quotePrefix="1" applyFont="1" applyBorder="1" applyAlignment="1">
      <alignment horizontal="right"/>
    </xf>
    <xf numFmtId="3" fontId="34" fillId="0" borderId="26" xfId="0" applyNumberFormat="1" applyFont="1" applyBorder="1"/>
    <xf numFmtId="1" fontId="34" fillId="0" borderId="0" xfId="37" applyNumberFormat="1" applyFont="1" applyFill="1" applyBorder="1" applyAlignment="1">
      <alignment horizontal="left" vertical="center"/>
    </xf>
    <xf numFmtId="0" fontId="34" fillId="0" borderId="26" xfId="0" applyFont="1" applyBorder="1"/>
    <xf numFmtId="0" fontId="40" fillId="0" borderId="26" xfId="0" applyFont="1" applyBorder="1"/>
    <xf numFmtId="165" fontId="34" fillId="0" borderId="0" xfId="37" applyNumberFormat="1" applyFont="1" applyFill="1" applyBorder="1" applyAlignment="1">
      <alignment horizontal="left"/>
    </xf>
    <xf numFmtId="3" fontId="40" fillId="0" borderId="0" xfId="0" applyNumberFormat="1" applyFont="1"/>
    <xf numFmtId="3" fontId="34" fillId="0" borderId="0" xfId="0" applyNumberFormat="1" applyFont="1" applyAlignment="1">
      <alignment horizontal="left"/>
    </xf>
    <xf numFmtId="1" fontId="34" fillId="0" borderId="0" xfId="37" applyNumberFormat="1" applyFont="1" applyFill="1" applyBorder="1" applyAlignment="1">
      <alignment horizontal="left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/>
    <xf numFmtId="0" fontId="10" fillId="0" borderId="26" xfId="0" applyFont="1" applyBorder="1"/>
    <xf numFmtId="0" fontId="39" fillId="0" borderId="26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2" fontId="40" fillId="0" borderId="0" xfId="1" applyNumberFormat="1" applyFont="1" applyFill="1" applyBorder="1" applyAlignment="1">
      <alignment horizontal="center"/>
    </xf>
    <xf numFmtId="164" fontId="34" fillId="0" borderId="0" xfId="1" applyNumberFormat="1" applyFont="1" applyFill="1" applyBorder="1" applyAlignment="1">
      <alignment horizontal="center"/>
    </xf>
    <xf numFmtId="3" fontId="34" fillId="0" borderId="0" xfId="0" quotePrefix="1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3" fontId="44" fillId="0" borderId="0" xfId="0" quotePrefix="1" applyNumberFormat="1" applyFont="1"/>
    <xf numFmtId="0" fontId="46" fillId="0" borderId="0" xfId="0" applyFont="1"/>
    <xf numFmtId="9" fontId="40" fillId="0" borderId="0" xfId="1" applyFont="1" applyAlignment="1">
      <alignment horizontal="right" wrapText="1"/>
    </xf>
    <xf numFmtId="0" fontId="47" fillId="0" borderId="0" xfId="0" applyFont="1" applyAlignment="1" applyProtection="1">
      <alignment vertical="center"/>
      <protection hidden="1"/>
    </xf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7" fillId="0" borderId="0" xfId="0" applyFont="1"/>
    <xf numFmtId="0" fontId="44" fillId="0" borderId="0" xfId="0" applyFont="1"/>
    <xf numFmtId="0" fontId="49" fillId="0" borderId="0" xfId="0" applyFont="1"/>
    <xf numFmtId="0" fontId="45" fillId="0" borderId="0" xfId="0" applyFont="1"/>
    <xf numFmtId="0" fontId="56" fillId="0" borderId="0" xfId="0" applyFont="1"/>
    <xf numFmtId="0" fontId="50" fillId="0" borderId="6" xfId="0" applyFont="1" applyBorder="1"/>
    <xf numFmtId="0" fontId="52" fillId="0" borderId="6" xfId="0" applyFont="1" applyBorder="1"/>
    <xf numFmtId="0" fontId="53" fillId="0" borderId="6" xfId="0" applyFont="1" applyBorder="1"/>
    <xf numFmtId="0" fontId="55" fillId="0" borderId="6" xfId="0" applyFont="1" applyBorder="1"/>
    <xf numFmtId="0" fontId="56" fillId="0" borderId="6" xfId="0" applyFont="1" applyBorder="1"/>
    <xf numFmtId="3" fontId="7" fillId="0" borderId="0" xfId="0" applyNumberFormat="1" applyFont="1" applyProtection="1">
      <protection locked="0"/>
    </xf>
    <xf numFmtId="9" fontId="7" fillId="0" borderId="0" xfId="0" applyNumberFormat="1" applyFont="1"/>
    <xf numFmtId="0" fontId="36" fillId="0" borderId="0" xfId="0" applyFont="1"/>
    <xf numFmtId="0" fontId="7" fillId="2" borderId="1" xfId="0" applyFont="1" applyFill="1" applyBorder="1" applyProtection="1">
      <protection locked="0"/>
    </xf>
    <xf numFmtId="3" fontId="36" fillId="0" borderId="2" xfId="0" applyNumberFormat="1" applyFont="1" applyBorder="1"/>
    <xf numFmtId="0" fontId="6" fillId="0" borderId="22" xfId="0" applyFont="1" applyBorder="1"/>
    <xf numFmtId="3" fontId="6" fillId="0" borderId="22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3" fontId="7" fillId="2" borderId="33" xfId="0" applyNumberFormat="1" applyFont="1" applyFill="1" applyBorder="1" applyProtection="1">
      <protection locked="0"/>
    </xf>
    <xf numFmtId="10" fontId="58" fillId="0" borderId="0" xfId="1" applyNumberFormat="1" applyFont="1" applyFill="1" applyBorder="1"/>
    <xf numFmtId="1" fontId="58" fillId="0" borderId="0" xfId="37" applyNumberFormat="1" applyFont="1" applyFill="1" applyBorder="1"/>
    <xf numFmtId="3" fontId="58" fillId="0" borderId="0" xfId="0" applyNumberFormat="1" applyFont="1"/>
    <xf numFmtId="9" fontId="45" fillId="0" borderId="0" xfId="0" applyNumberFormat="1" applyFont="1" applyAlignment="1">
      <alignment horizontal="right"/>
    </xf>
    <xf numFmtId="0" fontId="59" fillId="0" borderId="6" xfId="0" applyFont="1" applyBorder="1"/>
    <xf numFmtId="0" fontId="7" fillId="0" borderId="0" xfId="0" applyFont="1" applyAlignment="1">
      <alignment horizontal="left"/>
    </xf>
    <xf numFmtId="4" fontId="0" fillId="0" borderId="0" xfId="0" applyNumberFormat="1"/>
    <xf numFmtId="3" fontId="0" fillId="0" borderId="26" xfId="0" applyNumberFormat="1" applyBorder="1"/>
    <xf numFmtId="0" fontId="7" fillId="0" borderId="26" xfId="0" applyFont="1" applyBorder="1" applyAlignment="1">
      <alignment horizontal="left"/>
    </xf>
    <xf numFmtId="10" fontId="0" fillId="0" borderId="27" xfId="1" applyNumberFormat="1" applyFont="1" applyBorder="1"/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3" fontId="7" fillId="0" borderId="29" xfId="0" applyNumberFormat="1" applyFont="1" applyBorder="1" applyAlignment="1">
      <alignment horizontal="right"/>
    </xf>
    <xf numFmtId="3" fontId="7" fillId="0" borderId="29" xfId="0" applyNumberFormat="1" applyFont="1" applyBorder="1" applyProtection="1">
      <protection locked="0"/>
    </xf>
    <xf numFmtId="3" fontId="0" fillId="0" borderId="29" xfId="0" applyNumberFormat="1" applyBorder="1"/>
    <xf numFmtId="4" fontId="0" fillId="0" borderId="29" xfId="0" applyNumberFormat="1" applyBorder="1"/>
    <xf numFmtId="10" fontId="0" fillId="0" borderId="31" xfId="1" applyNumberFormat="1" applyFont="1" applyBorder="1"/>
    <xf numFmtId="0" fontId="47" fillId="0" borderId="0" xfId="0" applyFont="1"/>
    <xf numFmtId="3" fontId="32" fillId="0" borderId="0" xfId="0" applyNumberFormat="1" applyFont="1"/>
    <xf numFmtId="0" fontId="61" fillId="0" borderId="0" xfId="0" applyFont="1" applyAlignment="1">
      <alignment wrapText="1"/>
    </xf>
    <xf numFmtId="0" fontId="60" fillId="0" borderId="0" xfId="0" applyFont="1"/>
    <xf numFmtId="3" fontId="3" fillId="0" borderId="0" xfId="3" applyNumberFormat="1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7" fillId="2" borderId="1" xfId="0" quotePrefix="1" applyFont="1" applyFill="1" applyBorder="1" applyAlignment="1" applyProtection="1">
      <alignment horizontal="right"/>
      <protection locked="0"/>
    </xf>
    <xf numFmtId="3" fontId="35" fillId="0" borderId="0" xfId="0" applyNumberFormat="1" applyFont="1"/>
    <xf numFmtId="3" fontId="35" fillId="0" borderId="7" xfId="0" applyNumberFormat="1" applyFont="1" applyBorder="1"/>
    <xf numFmtId="3" fontId="9" fillId="0" borderId="7" xfId="0" applyNumberFormat="1" applyFont="1" applyBorder="1"/>
    <xf numFmtId="9" fontId="7" fillId="0" borderId="0" xfId="1" applyFont="1" applyFill="1" applyBorder="1" applyAlignment="1" applyProtection="1">
      <alignment vertical="center"/>
    </xf>
    <xf numFmtId="3" fontId="3" fillId="0" borderId="7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4" xfId="0" applyFont="1" applyBorder="1"/>
    <xf numFmtId="0" fontId="7" fillId="0" borderId="32" xfId="0" applyFont="1" applyBorder="1"/>
    <xf numFmtId="0" fontId="13" fillId="18" borderId="0" xfId="6" applyFont="1" applyFill="1" applyAlignment="1">
      <alignment vertical="center"/>
    </xf>
    <xf numFmtId="0" fontId="5" fillId="0" borderId="18" xfId="6" applyFont="1" applyBorder="1" applyAlignment="1">
      <alignment horizontal="center" vertical="center" wrapText="1"/>
    </xf>
    <xf numFmtId="0" fontId="13" fillId="0" borderId="18" xfId="6" applyFont="1" applyBorder="1" applyAlignment="1">
      <alignment vertical="center"/>
    </xf>
    <xf numFmtId="0" fontId="13" fillId="0" borderId="17" xfId="6" applyFont="1" applyBorder="1" applyAlignment="1">
      <alignment vertical="center"/>
    </xf>
    <xf numFmtId="0" fontId="34" fillId="0" borderId="28" xfId="0" applyFont="1" applyBorder="1" applyAlignment="1">
      <alignment horizontal="center"/>
    </xf>
    <xf numFmtId="2" fontId="40" fillId="0" borderId="29" xfId="1" applyNumberFormat="1" applyFont="1" applyFill="1" applyBorder="1" applyAlignment="1">
      <alignment horizontal="center"/>
    </xf>
    <xf numFmtId="10" fontId="58" fillId="0" borderId="29" xfId="1" applyNumberFormat="1" applyFont="1" applyFill="1" applyBorder="1"/>
    <xf numFmtId="0" fontId="40" fillId="0" borderId="0" xfId="0" applyFont="1"/>
    <xf numFmtId="3" fontId="43" fillId="0" borderId="0" xfId="38" applyNumberFormat="1" applyFont="1" applyFill="1" applyBorder="1"/>
    <xf numFmtId="3" fontId="40" fillId="0" borderId="0" xfId="0" applyNumberFormat="1" applyFont="1" applyAlignment="1">
      <alignment horizontal="center"/>
    </xf>
    <xf numFmtId="167" fontId="34" fillId="0" borderId="0" xfId="0" applyNumberFormat="1" applyFont="1"/>
    <xf numFmtId="167" fontId="40" fillId="0" borderId="0" xfId="0" applyNumberFormat="1" applyFont="1"/>
    <xf numFmtId="164" fontId="40" fillId="0" borderId="0" xfId="1" applyNumberFormat="1" applyFont="1" applyFill="1" applyBorder="1" applyAlignment="1">
      <alignment horizontal="center"/>
    </xf>
    <xf numFmtId="3" fontId="37" fillId="0" borderId="27" xfId="0" applyNumberFormat="1" applyFont="1" applyBorder="1"/>
    <xf numFmtId="0" fontId="35" fillId="0" borderId="27" xfId="0" applyFont="1" applyBorder="1"/>
    <xf numFmtId="3" fontId="35" fillId="0" borderId="27" xfId="0" applyNumberFormat="1" applyFont="1" applyBorder="1"/>
    <xf numFmtId="0" fontId="44" fillId="0" borderId="23" xfId="0" applyFont="1" applyBorder="1"/>
    <xf numFmtId="3" fontId="44" fillId="0" borderId="29" xfId="0" quotePrefix="1" applyNumberFormat="1" applyFont="1" applyBorder="1"/>
    <xf numFmtId="0" fontId="40" fillId="17" borderId="23" xfId="0" applyFont="1" applyFill="1" applyBorder="1" applyAlignment="1">
      <alignment horizontal="center"/>
    </xf>
    <xf numFmtId="0" fontId="42" fillId="17" borderId="24" xfId="0" applyFont="1" applyFill="1" applyBorder="1" applyAlignment="1">
      <alignment horizontal="center"/>
    </xf>
    <xf numFmtId="0" fontId="45" fillId="0" borderId="26" xfId="0" applyFont="1" applyBorder="1" applyAlignment="1">
      <alignment horizontal="center" vertical="center"/>
    </xf>
    <xf numFmtId="166" fontId="45" fillId="0" borderId="26" xfId="0" quotePrefix="1" applyNumberFormat="1" applyFont="1" applyBorder="1" applyAlignment="1">
      <alignment horizontal="center"/>
    </xf>
    <xf numFmtId="166" fontId="45" fillId="0" borderId="26" xfId="0" applyNumberFormat="1" applyFont="1" applyBorder="1" applyAlignment="1">
      <alignment horizontal="center"/>
    </xf>
    <xf numFmtId="0" fontId="45" fillId="0" borderId="26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3" fontId="3" fillId="0" borderId="0" xfId="3" quotePrefix="1" applyNumberFormat="1" applyFont="1" applyFill="1" applyBorder="1" applyAlignment="1">
      <alignment horizontal="right" wrapText="1"/>
    </xf>
    <xf numFmtId="0" fontId="60" fillId="0" borderId="0" xfId="0" applyFont="1" applyAlignment="1">
      <alignment vertical="top" wrapText="1"/>
    </xf>
    <xf numFmtId="3" fontId="34" fillId="0" borderId="27" xfId="0" applyNumberFormat="1" applyFont="1" applyBorder="1" applyAlignment="1">
      <alignment vertical="top"/>
    </xf>
    <xf numFmtId="9" fontId="58" fillId="0" borderId="0" xfId="1" applyFont="1" applyFill="1" applyBorder="1"/>
    <xf numFmtId="0" fontId="7" fillId="2" borderId="0" xfId="0" applyFont="1" applyFill="1"/>
    <xf numFmtId="0" fontId="7" fillId="2" borderId="29" xfId="0" applyFont="1" applyFill="1" applyBorder="1"/>
    <xf numFmtId="3" fontId="34" fillId="0" borderId="0" xfId="0" quotePrefix="1" applyNumberFormat="1" applyFont="1"/>
    <xf numFmtId="0" fontId="40" fillId="0" borderId="0" xfId="2" applyFont="1" applyAlignment="1">
      <alignment horizontal="right" vertical="center" wrapText="1"/>
    </xf>
    <xf numFmtId="0" fontId="40" fillId="0" borderId="27" xfId="2" applyFont="1" applyBorder="1" applyAlignment="1">
      <alignment horizontal="right" vertical="center" wrapText="1"/>
    </xf>
    <xf numFmtId="0" fontId="40" fillId="0" borderId="0" xfId="2" applyFont="1" applyAlignment="1">
      <alignment horizontal="right" vertical="top" wrapText="1"/>
    </xf>
    <xf numFmtId="0" fontId="40" fillId="0" borderId="27" xfId="2" applyFont="1" applyBorder="1" applyAlignment="1">
      <alignment horizontal="right" vertical="top" wrapText="1"/>
    </xf>
    <xf numFmtId="3" fontId="34" fillId="0" borderId="0" xfId="2" applyNumberFormat="1" applyFont="1" applyAlignment="1">
      <alignment horizontal="right" vertical="center"/>
    </xf>
    <xf numFmtId="3" fontId="34" fillId="0" borderId="27" xfId="2" applyNumberFormat="1" applyFont="1" applyBorder="1" applyAlignment="1">
      <alignment horizontal="right" vertical="center"/>
    </xf>
    <xf numFmtId="3" fontId="34" fillId="0" borderId="29" xfId="0" quotePrefix="1" applyNumberFormat="1" applyFont="1" applyBorder="1"/>
    <xf numFmtId="3" fontId="34" fillId="0" borderId="29" xfId="2" applyNumberFormat="1" applyFont="1" applyBorder="1" applyAlignment="1">
      <alignment horizontal="right" vertical="center"/>
    </xf>
    <xf numFmtId="3" fontId="34" fillId="0" borderId="31" xfId="2" applyNumberFormat="1" applyFont="1" applyBorder="1" applyAlignment="1">
      <alignment horizontal="right" vertical="center"/>
    </xf>
    <xf numFmtId="0" fontId="0" fillId="0" borderId="34" xfId="0" applyBorder="1"/>
    <xf numFmtId="0" fontId="6" fillId="0" borderId="35" xfId="0" applyFont="1" applyBorder="1"/>
    <xf numFmtId="3" fontId="6" fillId="0" borderId="35" xfId="0" applyNumberFormat="1" applyFont="1" applyBorder="1" applyAlignment="1">
      <alignment horizontal="right"/>
    </xf>
    <xf numFmtId="3" fontId="36" fillId="0" borderId="36" xfId="0" applyNumberFormat="1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0" xfId="2" applyFont="1" applyAlignment="1">
      <alignment horizontal="right" wrapText="1" indent="1"/>
    </xf>
    <xf numFmtId="0" fontId="3" fillId="0" borderId="0" xfId="2" applyFont="1"/>
    <xf numFmtId="0" fontId="5" fillId="0" borderId="4" xfId="0" applyFont="1" applyBorder="1"/>
    <xf numFmtId="0" fontId="7" fillId="0" borderId="0" xfId="0" quotePrefix="1" applyFont="1"/>
    <xf numFmtId="0" fontId="68" fillId="0" borderId="0" xfId="0" applyFont="1" applyAlignment="1">
      <alignment horizontal="right" indent="1"/>
    </xf>
    <xf numFmtId="0" fontId="5" fillId="0" borderId="0" xfId="0" applyFont="1"/>
    <xf numFmtId="0" fontId="63" fillId="0" borderId="0" xfId="0" applyFont="1"/>
    <xf numFmtId="0" fontId="3" fillId="0" borderId="32" xfId="0" applyFont="1" applyBorder="1"/>
    <xf numFmtId="0" fontId="69" fillId="0" borderId="34" xfId="0" applyFont="1" applyBorder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53" fillId="0" borderId="0" xfId="0" applyFont="1" applyAlignment="1">
      <alignment horizontal="center" vertical="top" wrapText="1"/>
    </xf>
    <xf numFmtId="9" fontId="7" fillId="0" borderId="1" xfId="1" applyFont="1" applyFill="1" applyBorder="1" applyProtection="1"/>
    <xf numFmtId="9" fontId="7" fillId="2" borderId="1" xfId="1" applyFont="1" applyFill="1" applyBorder="1" applyProtection="1"/>
    <xf numFmtId="0" fontId="70" fillId="21" borderId="39" xfId="39" applyNumberFormat="1" applyFill="1" applyBorder="1" applyProtection="1">
      <protection locked="0"/>
    </xf>
    <xf numFmtId="169" fontId="70" fillId="21" borderId="39" xfId="39" applyNumberFormat="1" applyFill="1" applyBorder="1" applyProtection="1">
      <protection locked="0"/>
    </xf>
    <xf numFmtId="169" fontId="70" fillId="21" borderId="39" xfId="39" applyNumberFormat="1" applyFill="1" applyBorder="1" applyAlignment="1" applyProtection="1">
      <alignment vertical="center"/>
      <protection locked="0"/>
    </xf>
    <xf numFmtId="169" fontId="70" fillId="23" borderId="54" xfId="39" applyNumberFormat="1" applyFill="1" applyBorder="1" applyAlignment="1" applyProtection="1">
      <alignment horizontal="center"/>
      <protection locked="0"/>
    </xf>
    <xf numFmtId="0" fontId="70" fillId="0" borderId="4" xfId="39" applyNumberFormat="1" applyBorder="1" applyProtection="1">
      <protection hidden="1"/>
    </xf>
    <xf numFmtId="0" fontId="70" fillId="20" borderId="5" xfId="39" applyFill="1" applyBorder="1" applyProtection="1">
      <protection hidden="1"/>
    </xf>
    <xf numFmtId="0" fontId="70" fillId="0" borderId="0" xfId="39" applyNumberFormat="1" applyProtection="1">
      <protection hidden="1"/>
    </xf>
    <xf numFmtId="0" fontId="70" fillId="20" borderId="6" xfId="39" applyFill="1" applyBorder="1" applyProtection="1">
      <protection hidden="1"/>
    </xf>
    <xf numFmtId="49" fontId="71" fillId="20" borderId="0" xfId="39" applyNumberFormat="1" applyFont="1" applyFill="1" applyBorder="1" applyAlignment="1" applyProtection="1">
      <alignment horizontal="left"/>
      <protection hidden="1"/>
    </xf>
    <xf numFmtId="0" fontId="70" fillId="20" borderId="0" xfId="39" applyFill="1" applyBorder="1" applyProtection="1">
      <protection hidden="1"/>
    </xf>
    <xf numFmtId="0" fontId="70" fillId="20" borderId="37" xfId="39" applyFill="1" applyBorder="1" applyProtection="1">
      <protection hidden="1"/>
    </xf>
    <xf numFmtId="0" fontId="70" fillId="20" borderId="7" xfId="39" applyFill="1" applyBorder="1" applyProtection="1">
      <protection hidden="1"/>
    </xf>
    <xf numFmtId="49" fontId="70" fillId="20" borderId="0" xfId="39" applyNumberFormat="1" applyFill="1" applyBorder="1" applyAlignment="1" applyProtection="1">
      <alignment horizontal="center"/>
      <protection hidden="1"/>
    </xf>
    <xf numFmtId="49" fontId="70" fillId="20" borderId="0" xfId="39" applyNumberFormat="1" applyFill="1" applyBorder="1" applyProtection="1">
      <protection hidden="1"/>
    </xf>
    <xf numFmtId="49" fontId="70" fillId="20" borderId="38" xfId="39" applyNumberFormat="1" applyFill="1" applyBorder="1" applyProtection="1">
      <protection hidden="1"/>
    </xf>
    <xf numFmtId="49" fontId="70" fillId="20" borderId="40" xfId="39" applyNumberFormat="1" applyFill="1" applyBorder="1" applyAlignment="1" applyProtection="1">
      <alignment horizontal="left"/>
      <protection hidden="1"/>
    </xf>
    <xf numFmtId="169" fontId="70" fillId="20" borderId="0" xfId="39" applyNumberFormat="1" applyFill="1" applyBorder="1" applyAlignment="1" applyProtection="1">
      <alignment horizontal="right"/>
      <protection hidden="1"/>
    </xf>
    <xf numFmtId="169" fontId="70" fillId="20" borderId="38" xfId="39" applyNumberFormat="1" applyFill="1" applyBorder="1" applyAlignment="1" applyProtection="1">
      <alignment horizontal="right"/>
      <protection hidden="1"/>
    </xf>
    <xf numFmtId="49" fontId="72" fillId="20" borderId="0" xfId="39" applyNumberFormat="1" applyFont="1" applyFill="1" applyBorder="1" applyProtection="1">
      <protection hidden="1"/>
    </xf>
    <xf numFmtId="49" fontId="73" fillId="20" borderId="0" xfId="39" applyNumberFormat="1" applyFont="1" applyFill="1" applyBorder="1" applyProtection="1">
      <protection hidden="1"/>
    </xf>
    <xf numFmtId="169" fontId="18" fillId="20" borderId="41" xfId="39" applyNumberFormat="1" applyFont="1" applyFill="1" applyBorder="1" applyProtection="1">
      <protection hidden="1"/>
    </xf>
    <xf numFmtId="9" fontId="70" fillId="20" borderId="0" xfId="39" applyNumberFormat="1" applyFill="1" applyBorder="1" applyProtection="1">
      <protection hidden="1"/>
    </xf>
    <xf numFmtId="169" fontId="70" fillId="20" borderId="42" xfId="39" applyNumberFormat="1" applyFill="1" applyBorder="1" applyProtection="1">
      <protection hidden="1"/>
    </xf>
    <xf numFmtId="49" fontId="18" fillId="20" borderId="0" xfId="39" applyNumberFormat="1" applyFont="1" applyFill="1" applyBorder="1" applyProtection="1">
      <protection hidden="1"/>
    </xf>
    <xf numFmtId="0" fontId="18" fillId="20" borderId="0" xfId="39" applyFont="1" applyFill="1" applyBorder="1" applyProtection="1">
      <protection hidden="1"/>
    </xf>
    <xf numFmtId="0" fontId="70" fillId="20" borderId="0" xfId="39" applyFill="1" applyBorder="1" applyAlignment="1" applyProtection="1">
      <alignment horizontal="center"/>
      <protection hidden="1"/>
    </xf>
    <xf numFmtId="169" fontId="18" fillId="20" borderId="0" xfId="39" applyNumberFormat="1" applyFont="1" applyFill="1" applyBorder="1" applyProtection="1">
      <protection hidden="1"/>
    </xf>
    <xf numFmtId="0" fontId="78" fillId="20" borderId="6" xfId="39" applyFont="1" applyFill="1" applyBorder="1" applyProtection="1">
      <protection hidden="1"/>
    </xf>
    <xf numFmtId="49" fontId="79" fillId="20" borderId="0" xfId="39" applyNumberFormat="1" applyFont="1" applyFill="1" applyBorder="1" applyAlignment="1" applyProtection="1">
      <alignment horizontal="left"/>
      <protection hidden="1"/>
    </xf>
    <xf numFmtId="0" fontId="78" fillId="20" borderId="0" xfId="39" applyFont="1" applyFill="1" applyBorder="1" applyProtection="1">
      <protection hidden="1"/>
    </xf>
    <xf numFmtId="169" fontId="78" fillId="20" borderId="0" xfId="39" applyNumberFormat="1" applyFont="1" applyFill="1" applyBorder="1" applyAlignment="1" applyProtection="1">
      <alignment horizontal="right"/>
      <protection hidden="1"/>
    </xf>
    <xf numFmtId="169" fontId="78" fillId="20" borderId="0" xfId="39" applyNumberFormat="1" applyFont="1" applyFill="1" applyBorder="1" applyProtection="1">
      <protection hidden="1"/>
    </xf>
    <xf numFmtId="0" fontId="78" fillId="20" borderId="0" xfId="39" applyFont="1" applyFill="1" applyBorder="1" applyAlignment="1" applyProtection="1">
      <alignment horizontal="center"/>
      <protection hidden="1"/>
    </xf>
    <xf numFmtId="49" fontId="80" fillId="20" borderId="0" xfId="39" applyNumberFormat="1" applyFont="1" applyFill="1" applyBorder="1" applyProtection="1">
      <protection hidden="1"/>
    </xf>
    <xf numFmtId="0" fontId="81" fillId="20" borderId="0" xfId="39" applyFont="1" applyFill="1" applyBorder="1" applyProtection="1">
      <protection hidden="1"/>
    </xf>
    <xf numFmtId="169" fontId="81" fillId="20" borderId="0" xfId="39" applyNumberFormat="1" applyFont="1" applyFill="1" applyBorder="1" applyProtection="1">
      <protection hidden="1"/>
    </xf>
    <xf numFmtId="0" fontId="79" fillId="20" borderId="0" xfId="39" applyFont="1" applyFill="1" applyBorder="1" applyAlignment="1" applyProtection="1">
      <alignment horizontal="center"/>
      <protection hidden="1"/>
    </xf>
    <xf numFmtId="49" fontId="81" fillId="20" borderId="0" xfId="39" applyNumberFormat="1" applyFont="1" applyFill="1" applyBorder="1" applyProtection="1">
      <protection hidden="1"/>
    </xf>
    <xf numFmtId="169" fontId="81" fillId="20" borderId="0" xfId="39" applyNumberFormat="1" applyFont="1" applyFill="1" applyBorder="1" applyAlignment="1" applyProtection="1">
      <alignment horizontal="left"/>
      <protection hidden="1"/>
    </xf>
    <xf numFmtId="49" fontId="81" fillId="20" borderId="43" xfId="39" applyNumberFormat="1" applyFont="1" applyFill="1" applyBorder="1" applyAlignment="1" applyProtection="1">
      <alignment horizontal="left"/>
      <protection hidden="1"/>
    </xf>
    <xf numFmtId="169" fontId="81" fillId="20" borderId="43" xfId="39" applyNumberFormat="1" applyFont="1" applyFill="1" applyBorder="1" applyAlignment="1" applyProtection="1">
      <alignment horizontal="left"/>
      <protection hidden="1"/>
    </xf>
    <xf numFmtId="0" fontId="81" fillId="20" borderId="43" xfId="39" applyFont="1" applyFill="1" applyBorder="1" applyProtection="1">
      <protection hidden="1"/>
    </xf>
    <xf numFmtId="169" fontId="81" fillId="20" borderId="43" xfId="39" applyNumberFormat="1" applyFont="1" applyFill="1" applyBorder="1" applyProtection="1">
      <protection hidden="1"/>
    </xf>
    <xf numFmtId="169" fontId="81" fillId="20" borderId="44" xfId="39" applyNumberFormat="1" applyFont="1" applyFill="1" applyBorder="1" applyProtection="1">
      <protection hidden="1"/>
    </xf>
    <xf numFmtId="0" fontId="79" fillId="20" borderId="45" xfId="39" applyFont="1" applyFill="1" applyBorder="1" applyAlignment="1" applyProtection="1">
      <alignment horizontal="center"/>
      <protection hidden="1"/>
    </xf>
    <xf numFmtId="49" fontId="80" fillId="20" borderId="46" xfId="39" applyNumberFormat="1" applyFont="1" applyFill="1" applyBorder="1" applyProtection="1">
      <protection hidden="1"/>
    </xf>
    <xf numFmtId="0" fontId="81" fillId="20" borderId="47" xfId="39" applyFont="1" applyFill="1" applyBorder="1" applyProtection="1">
      <protection hidden="1"/>
    </xf>
    <xf numFmtId="169" fontId="81" fillId="20" borderId="48" xfId="39" applyNumberFormat="1" applyFont="1" applyFill="1" applyBorder="1" applyProtection="1">
      <protection hidden="1"/>
    </xf>
    <xf numFmtId="169" fontId="80" fillId="20" borderId="49" xfId="39" applyNumberFormat="1" applyFont="1" applyFill="1" applyBorder="1" applyProtection="1">
      <protection hidden="1"/>
    </xf>
    <xf numFmtId="0" fontId="76" fillId="20" borderId="0" xfId="39" applyFont="1" applyFill="1" applyBorder="1" applyAlignment="1" applyProtection="1">
      <alignment horizontal="center"/>
      <protection hidden="1"/>
    </xf>
    <xf numFmtId="0" fontId="74" fillId="20" borderId="50" xfId="39" applyFont="1" applyFill="1" applyBorder="1" applyProtection="1">
      <protection hidden="1"/>
    </xf>
    <xf numFmtId="0" fontId="75" fillId="20" borderId="50" xfId="39" applyFont="1" applyFill="1" applyBorder="1" applyProtection="1">
      <protection hidden="1"/>
    </xf>
    <xf numFmtId="169" fontId="75" fillId="20" borderId="50" xfId="39" applyNumberFormat="1" applyFont="1" applyFill="1" applyBorder="1" applyProtection="1">
      <protection hidden="1"/>
    </xf>
    <xf numFmtId="169" fontId="74" fillId="20" borderId="51" xfId="39" applyNumberFormat="1" applyFont="1" applyFill="1" applyBorder="1" applyProtection="1">
      <protection hidden="1"/>
    </xf>
    <xf numFmtId="49" fontId="82" fillId="20" borderId="0" xfId="39" applyNumberFormat="1" applyFont="1" applyFill="1" applyBorder="1" applyAlignment="1" applyProtection="1">
      <alignment horizontal="left"/>
      <protection hidden="1"/>
    </xf>
    <xf numFmtId="169" fontId="70" fillId="20" borderId="0" xfId="39" applyNumberFormat="1" applyFill="1" applyBorder="1" applyProtection="1">
      <protection hidden="1"/>
    </xf>
    <xf numFmtId="169" fontId="18" fillId="20" borderId="52" xfId="39" applyNumberFormat="1" applyFont="1" applyFill="1" applyBorder="1" applyProtection="1">
      <protection hidden="1"/>
    </xf>
    <xf numFmtId="49" fontId="83" fillId="20" borderId="43" xfId="39" applyNumberFormat="1" applyFont="1" applyFill="1" applyBorder="1" applyProtection="1">
      <protection hidden="1"/>
    </xf>
    <xf numFmtId="169" fontId="77" fillId="20" borderId="43" xfId="39" applyNumberFormat="1" applyFont="1" applyFill="1" applyBorder="1" applyAlignment="1" applyProtection="1">
      <alignment horizontal="left"/>
      <protection hidden="1"/>
    </xf>
    <xf numFmtId="169" fontId="83" fillId="20" borderId="43" xfId="39" applyNumberFormat="1" applyFont="1" applyFill="1" applyBorder="1" applyProtection="1">
      <protection hidden="1"/>
    </xf>
    <xf numFmtId="49" fontId="70" fillId="20" borderId="43" xfId="39" applyNumberFormat="1" applyFill="1" applyBorder="1" applyProtection="1">
      <protection hidden="1"/>
    </xf>
    <xf numFmtId="49" fontId="70" fillId="20" borderId="43" xfId="39" applyNumberFormat="1" applyFill="1" applyBorder="1" applyAlignment="1" applyProtection="1">
      <alignment horizontal="left"/>
      <protection hidden="1"/>
    </xf>
    <xf numFmtId="169" fontId="70" fillId="20" borderId="53" xfId="39" applyNumberFormat="1" applyFill="1" applyBorder="1" applyProtection="1">
      <protection hidden="1"/>
    </xf>
    <xf numFmtId="49" fontId="70" fillId="20" borderId="45" xfId="39" applyNumberFormat="1" applyFill="1" applyBorder="1" applyAlignment="1" applyProtection="1">
      <alignment horizontal="center"/>
      <protection hidden="1"/>
    </xf>
    <xf numFmtId="49" fontId="18" fillId="22" borderId="46" xfId="39" applyNumberFormat="1" applyFont="1" applyFill="1" applyBorder="1" applyAlignment="1" applyProtection="1">
      <alignment horizontal="left"/>
      <protection hidden="1"/>
    </xf>
    <xf numFmtId="0" fontId="70" fillId="22" borderId="47" xfId="39" applyFill="1" applyBorder="1" applyProtection="1">
      <protection hidden="1"/>
    </xf>
    <xf numFmtId="169" fontId="70" fillId="22" borderId="47" xfId="39" applyNumberFormat="1" applyFill="1" applyBorder="1" applyProtection="1">
      <protection hidden="1"/>
    </xf>
    <xf numFmtId="9" fontId="70" fillId="22" borderId="55" xfId="39" applyNumberFormat="1" applyFill="1" applyBorder="1" applyAlignment="1" applyProtection="1">
      <alignment horizontal="center"/>
      <protection hidden="1"/>
    </xf>
    <xf numFmtId="169" fontId="18" fillId="22" borderId="56" xfId="39" applyNumberFormat="1" applyFont="1" applyFill="1" applyBorder="1" applyProtection="1">
      <protection hidden="1"/>
    </xf>
    <xf numFmtId="49" fontId="18" fillId="20" borderId="50" xfId="39" applyNumberFormat="1" applyFont="1" applyFill="1" applyBorder="1" applyProtection="1">
      <protection hidden="1"/>
    </xf>
    <xf numFmtId="0" fontId="70" fillId="20" borderId="50" xfId="39" applyFill="1" applyBorder="1" applyProtection="1">
      <protection hidden="1"/>
    </xf>
    <xf numFmtId="0" fontId="70" fillId="20" borderId="57" xfId="39" applyFill="1" applyBorder="1" applyProtection="1">
      <protection hidden="1"/>
    </xf>
    <xf numFmtId="0" fontId="70" fillId="20" borderId="58" xfId="39" applyFill="1" applyBorder="1" applyProtection="1">
      <protection hidden="1"/>
    </xf>
    <xf numFmtId="9" fontId="70" fillId="20" borderId="0" xfId="39" applyNumberFormat="1" applyFill="1" applyBorder="1" applyAlignment="1" applyProtection="1">
      <alignment horizontal="right"/>
      <protection hidden="1"/>
    </xf>
    <xf numFmtId="0" fontId="70" fillId="20" borderId="45" xfId="39" applyFill="1" applyBorder="1" applyProtection="1">
      <protection hidden="1"/>
    </xf>
    <xf numFmtId="169" fontId="70" fillId="20" borderId="59" xfId="39" applyNumberFormat="1" applyFill="1" applyBorder="1" applyAlignment="1" applyProtection="1">
      <alignment horizontal="center"/>
      <protection hidden="1"/>
    </xf>
    <xf numFmtId="169" fontId="70" fillId="20" borderId="54" xfId="39" applyNumberFormat="1" applyFill="1" applyBorder="1" applyAlignment="1" applyProtection="1">
      <alignment horizontal="center"/>
      <protection hidden="1"/>
    </xf>
    <xf numFmtId="10" fontId="70" fillId="20" borderId="7" xfId="39" applyNumberFormat="1" applyFill="1" applyBorder="1" applyProtection="1">
      <protection hidden="1"/>
    </xf>
    <xf numFmtId="9" fontId="70" fillId="20" borderId="45" xfId="39" applyNumberFormat="1" applyFill="1" applyBorder="1" applyAlignment="1" applyProtection="1">
      <alignment horizontal="center"/>
      <protection hidden="1"/>
    </xf>
    <xf numFmtId="169" fontId="18" fillId="20" borderId="60" xfId="39" applyNumberFormat="1" applyFont="1" applyFill="1" applyBorder="1" applyProtection="1">
      <protection hidden="1"/>
    </xf>
    <xf numFmtId="9" fontId="70" fillId="20" borderId="0" xfId="39" applyNumberFormat="1" applyFill="1" applyBorder="1" applyAlignment="1" applyProtection="1">
      <alignment horizontal="center"/>
      <protection hidden="1"/>
    </xf>
    <xf numFmtId="10" fontId="70" fillId="20" borderId="0" xfId="39" applyNumberFormat="1" applyFill="1" applyBorder="1" applyProtection="1">
      <protection hidden="1"/>
    </xf>
    <xf numFmtId="169" fontId="70" fillId="20" borderId="7" xfId="39" applyNumberFormat="1" applyFill="1" applyBorder="1" applyProtection="1">
      <protection hidden="1"/>
    </xf>
    <xf numFmtId="169" fontId="70" fillId="20" borderId="52" xfId="39" applyNumberFormat="1" applyFill="1" applyBorder="1" applyProtection="1">
      <protection hidden="1"/>
    </xf>
    <xf numFmtId="10" fontId="70" fillId="20" borderId="38" xfId="39" applyNumberFormat="1" applyFill="1" applyBorder="1" applyProtection="1">
      <protection hidden="1"/>
    </xf>
    <xf numFmtId="169" fontId="18" fillId="20" borderId="37" xfId="39" applyNumberFormat="1" applyFont="1" applyFill="1" applyBorder="1" applyProtection="1">
      <protection hidden="1"/>
    </xf>
    <xf numFmtId="170" fontId="70" fillId="20" borderId="0" xfId="39" applyNumberFormat="1" applyFill="1" applyBorder="1" applyAlignment="1" applyProtection="1">
      <alignment horizontal="right"/>
      <protection hidden="1"/>
    </xf>
    <xf numFmtId="0" fontId="70" fillId="20" borderId="38" xfId="39" applyFill="1" applyBorder="1" applyProtection="1">
      <protection hidden="1"/>
    </xf>
    <xf numFmtId="49" fontId="70" fillId="20" borderId="52" xfId="39" applyNumberFormat="1" applyFill="1" applyBorder="1" applyAlignment="1" applyProtection="1">
      <alignment horizontal="center"/>
      <protection hidden="1"/>
    </xf>
    <xf numFmtId="49" fontId="70" fillId="20" borderId="52" xfId="39" applyNumberFormat="1" applyFill="1" applyBorder="1" applyProtection="1">
      <protection hidden="1"/>
    </xf>
    <xf numFmtId="0" fontId="70" fillId="20" borderId="52" xfId="39" applyFill="1" applyBorder="1" applyProtection="1">
      <protection hidden="1"/>
    </xf>
    <xf numFmtId="169" fontId="70" fillId="20" borderId="61" xfId="39" applyNumberFormat="1" applyFill="1" applyBorder="1" applyProtection="1">
      <protection hidden="1"/>
    </xf>
    <xf numFmtId="0" fontId="70" fillId="20" borderId="62" xfId="39" applyFill="1" applyBorder="1" applyProtection="1">
      <protection hidden="1"/>
    </xf>
    <xf numFmtId="49" fontId="71" fillId="22" borderId="63" xfId="39" applyNumberFormat="1" applyFont="1" applyFill="1" applyBorder="1" applyAlignment="1" applyProtection="1">
      <alignment horizontal="left"/>
      <protection hidden="1"/>
    </xf>
    <xf numFmtId="0" fontId="70" fillId="22" borderId="64" xfId="39" applyFill="1" applyBorder="1" applyProtection="1">
      <protection hidden="1"/>
    </xf>
    <xf numFmtId="169" fontId="70" fillId="22" borderId="65" xfId="39" applyNumberFormat="1" applyFill="1" applyBorder="1" applyProtection="1">
      <protection hidden="1"/>
    </xf>
    <xf numFmtId="169" fontId="18" fillId="22" borderId="66" xfId="39" applyNumberFormat="1" applyFont="1" applyFill="1" applyBorder="1" applyProtection="1">
      <protection hidden="1"/>
    </xf>
    <xf numFmtId="0" fontId="70" fillId="20" borderId="2" xfId="39" applyFill="1" applyBorder="1" applyProtection="1">
      <protection hidden="1"/>
    </xf>
    <xf numFmtId="0" fontId="84" fillId="0" borderId="0" xfId="39" applyNumberFormat="1" applyFont="1" applyProtection="1">
      <protection hidden="1"/>
    </xf>
    <xf numFmtId="0" fontId="85" fillId="20" borderId="0" xfId="39" applyFont="1" applyFill="1" applyBorder="1" applyProtection="1">
      <protection hidden="1"/>
    </xf>
    <xf numFmtId="0" fontId="70" fillId="20" borderId="4" xfId="39" applyFill="1" applyBorder="1" applyAlignment="1" applyProtection="1">
      <alignment horizontal="right" vertical="center"/>
      <protection hidden="1"/>
    </xf>
    <xf numFmtId="0" fontId="86" fillId="20" borderId="0" xfId="39" applyFont="1" applyFill="1" applyBorder="1" applyAlignment="1" applyProtection="1">
      <alignment horizontal="right"/>
      <protection hidden="1"/>
    </xf>
    <xf numFmtId="169" fontId="86" fillId="20" borderId="0" xfId="39" applyNumberFormat="1" applyFont="1" applyFill="1" applyBorder="1" applyAlignment="1" applyProtection="1">
      <alignment horizontal="right"/>
      <protection hidden="1"/>
    </xf>
    <xf numFmtId="0" fontId="72" fillId="20" borderId="0" xfId="39" applyFont="1" applyFill="1" applyBorder="1" applyProtection="1">
      <protection hidden="1"/>
    </xf>
    <xf numFmtId="0" fontId="40" fillId="0" borderId="0" xfId="0" applyFont="1" applyAlignment="1">
      <alignment horizontal="right" wrapText="1"/>
    </xf>
    <xf numFmtId="9" fontId="3" fillId="0" borderId="0" xfId="1" applyFont="1"/>
    <xf numFmtId="9" fontId="87" fillId="0" borderId="0" xfId="0" applyNumberFormat="1" applyFont="1"/>
    <xf numFmtId="0" fontId="0" fillId="0" borderId="67" xfId="0" applyBorder="1"/>
    <xf numFmtId="0" fontId="0" fillId="0" borderId="68" xfId="0" applyBorder="1"/>
    <xf numFmtId="0" fontId="0" fillId="0" borderId="69" xfId="0" applyBorder="1"/>
    <xf numFmtId="9" fontId="58" fillId="0" borderId="29" xfId="1" applyFont="1" applyFill="1" applyBorder="1"/>
    <xf numFmtId="0" fontId="64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164" fontId="58" fillId="0" borderId="27" xfId="1" applyNumberFormat="1" applyFont="1" applyFill="1" applyBorder="1"/>
    <xf numFmtId="164" fontId="58" fillId="0" borderId="31" xfId="1" applyNumberFormat="1" applyFont="1" applyFill="1" applyBorder="1"/>
    <xf numFmtId="0" fontId="40" fillId="0" borderId="0" xfId="0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88" fillId="0" borderId="0" xfId="0" applyFont="1"/>
    <xf numFmtId="0" fontId="70" fillId="20" borderId="3" xfId="39" applyFill="1" applyBorder="1" applyProtection="1">
      <protection hidden="1"/>
    </xf>
    <xf numFmtId="0" fontId="70" fillId="20" borderId="4" xfId="39" applyFill="1" applyBorder="1" applyProtection="1">
      <protection hidden="1"/>
    </xf>
    <xf numFmtId="168" fontId="70" fillId="20" borderId="4" xfId="39" applyNumberFormat="1" applyFill="1" applyBorder="1" applyAlignment="1" applyProtection="1">
      <alignment horizontal="right" vertical="center" wrapText="1"/>
      <protection hidden="1"/>
    </xf>
    <xf numFmtId="0" fontId="70" fillId="20" borderId="4" xfId="39" applyFill="1" applyBorder="1" applyAlignment="1" applyProtection="1">
      <alignment vertical="center"/>
      <protection hidden="1"/>
    </xf>
    <xf numFmtId="3" fontId="70" fillId="24" borderId="0" xfId="39" applyNumberFormat="1" applyFill="1" applyBorder="1" applyAlignment="1" applyProtection="1">
      <alignment horizontal="center"/>
      <protection hidden="1"/>
    </xf>
    <xf numFmtId="0" fontId="70" fillId="24" borderId="0" xfId="39" applyFill="1" applyBorder="1" applyAlignment="1" applyProtection="1">
      <alignment horizontal="center"/>
      <protection hidden="1"/>
    </xf>
    <xf numFmtId="0" fontId="66" fillId="0" borderId="6" xfId="0" applyFont="1" applyBorder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9" fillId="19" borderId="22" xfId="0" applyFont="1" applyFill="1" applyBorder="1" applyAlignment="1" applyProtection="1">
      <alignment horizontal="left" vertical="center"/>
      <protection locked="0"/>
    </xf>
    <xf numFmtId="0" fontId="9" fillId="19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top" wrapText="1"/>
    </xf>
    <xf numFmtId="0" fontId="53" fillId="0" borderId="6" xfId="0" applyFont="1" applyBorder="1" applyAlignment="1">
      <alignment horizontal="center" vertical="top" wrapText="1"/>
    </xf>
    <xf numFmtId="0" fontId="54" fillId="0" borderId="6" xfId="0" applyFont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40" fillId="17" borderId="28" xfId="0" applyFont="1" applyFill="1" applyBorder="1" applyAlignment="1">
      <alignment horizontal="center" vertical="center"/>
    </xf>
    <xf numFmtId="0" fontId="40" fillId="17" borderId="29" xfId="0" applyFont="1" applyFill="1" applyBorder="1" applyAlignment="1">
      <alignment horizontal="center" vertical="center"/>
    </xf>
    <xf numFmtId="3" fontId="40" fillId="16" borderId="24" xfId="0" applyNumberFormat="1" applyFont="1" applyFill="1" applyBorder="1" applyAlignment="1">
      <alignment horizontal="center" vertical="center" wrapText="1"/>
    </xf>
    <xf numFmtId="3" fontId="40" fillId="16" borderId="25" xfId="0" applyNumberFormat="1" applyFont="1" applyFill="1" applyBorder="1" applyAlignment="1">
      <alignment horizontal="center" vertical="center" wrapText="1"/>
    </xf>
    <xf numFmtId="3" fontId="45" fillId="16" borderId="26" xfId="0" applyNumberFormat="1" applyFont="1" applyFill="1" applyBorder="1" applyAlignment="1">
      <alignment horizontal="center" vertical="center" wrapText="1"/>
    </xf>
    <xf numFmtId="3" fontId="45" fillId="16" borderId="0" xfId="0" applyNumberFormat="1" applyFont="1" applyFill="1" applyAlignment="1">
      <alignment horizontal="center" vertical="center" wrapText="1"/>
    </xf>
    <xf numFmtId="3" fontId="45" fillId="16" borderId="27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top" wrapText="1"/>
    </xf>
    <xf numFmtId="0" fontId="40" fillId="17" borderId="23" xfId="0" applyFont="1" applyFill="1" applyBorder="1" applyAlignment="1">
      <alignment horizontal="center" vertical="center"/>
    </xf>
    <xf numFmtId="0" fontId="40" fillId="17" borderId="24" xfId="0" applyFont="1" applyFill="1" applyBorder="1" applyAlignment="1">
      <alignment horizontal="center" vertical="center"/>
    </xf>
    <xf numFmtId="0" fontId="40" fillId="17" borderId="25" xfId="0" applyFont="1" applyFill="1" applyBorder="1" applyAlignment="1">
      <alignment horizontal="center" vertical="center"/>
    </xf>
    <xf numFmtId="3" fontId="45" fillId="16" borderId="24" xfId="0" applyNumberFormat="1" applyFont="1" applyFill="1" applyBorder="1" applyAlignment="1">
      <alignment horizontal="center" vertical="center" wrapText="1"/>
    </xf>
    <xf numFmtId="3" fontId="45" fillId="16" borderId="25" xfId="0" applyNumberFormat="1" applyFont="1" applyFill="1" applyBorder="1" applyAlignment="1">
      <alignment horizontal="center" vertical="center" wrapText="1"/>
    </xf>
    <xf numFmtId="0" fontId="42" fillId="17" borderId="24" xfId="0" applyFont="1" applyFill="1" applyBorder="1" applyAlignment="1">
      <alignment horizontal="center"/>
    </xf>
    <xf numFmtId="0" fontId="42" fillId="17" borderId="25" xfId="0" applyFont="1" applyFill="1" applyBorder="1" applyAlignment="1">
      <alignment horizontal="center"/>
    </xf>
    <xf numFmtId="9" fontId="32" fillId="0" borderId="0" xfId="1" applyFont="1" applyAlignment="1">
      <alignment horizontal="center" wrapText="1"/>
    </xf>
    <xf numFmtId="9" fontId="32" fillId="0" borderId="0" xfId="1" applyFont="1" applyAlignment="1">
      <alignment horizontal="center"/>
    </xf>
  </cellXfs>
  <cellStyles count="40">
    <cellStyle name="Akzent1 2" xfId="12" xr:uid="{00000000-0005-0000-0000-000000000000}"/>
    <cellStyle name="Akzent2 2" xfId="13" xr:uid="{00000000-0005-0000-0000-000001000000}"/>
    <cellStyle name="Akzent3 2" xfId="14" xr:uid="{00000000-0005-0000-0000-000002000000}"/>
    <cellStyle name="Akzent4 2" xfId="15" xr:uid="{00000000-0005-0000-0000-000003000000}"/>
    <cellStyle name="Akzent5 2" xfId="16" xr:uid="{00000000-0005-0000-0000-000004000000}"/>
    <cellStyle name="Akzent6 2" xfId="17" xr:uid="{00000000-0005-0000-0000-000005000000}"/>
    <cellStyle name="Ausgabe 2" xfId="18" xr:uid="{00000000-0005-0000-0000-000006000000}"/>
    <cellStyle name="Berechnung 2" xfId="19" xr:uid="{00000000-0005-0000-0000-000007000000}"/>
    <cellStyle name="Dezimal 2" xfId="8" xr:uid="{00000000-0005-0000-0000-000008000000}"/>
    <cellStyle name="Eingabe 2" xfId="20" xr:uid="{00000000-0005-0000-0000-000009000000}"/>
    <cellStyle name="Ergebnis 2" xfId="21" xr:uid="{00000000-0005-0000-0000-00000A000000}"/>
    <cellStyle name="Erklärender Text 2" xfId="22" xr:uid="{00000000-0005-0000-0000-00000B000000}"/>
    <cellStyle name="Gut 2" xfId="23" xr:uid="{00000000-0005-0000-0000-00000C000000}"/>
    <cellStyle name="Komma 2" xfId="10" xr:uid="{00000000-0005-0000-0000-00000D000000}"/>
    <cellStyle name="Komma 3" xfId="24" xr:uid="{00000000-0005-0000-0000-00000E000000}"/>
    <cellStyle name="Komma 5" xfId="3" xr:uid="{00000000-0005-0000-0000-00000F000000}"/>
    <cellStyle name="Link" xfId="38" builtinId="8"/>
    <cellStyle name="Neutral 2" xfId="25" xr:uid="{00000000-0005-0000-0000-000011000000}"/>
    <cellStyle name="Notiz 2" xfId="26" xr:uid="{00000000-0005-0000-0000-000012000000}"/>
    <cellStyle name="Prozent" xfId="1" builtinId="5"/>
    <cellStyle name="Prozent 2" xfId="9" xr:uid="{00000000-0005-0000-0000-000014000000}"/>
    <cellStyle name="Prozent 3" xfId="4" xr:uid="{00000000-0005-0000-0000-000015000000}"/>
    <cellStyle name="Schlecht 2" xfId="27" xr:uid="{00000000-0005-0000-0000-000016000000}"/>
    <cellStyle name="Standard" xfId="0" builtinId="0"/>
    <cellStyle name="Standard 2" xfId="7" xr:uid="{00000000-0005-0000-0000-000018000000}"/>
    <cellStyle name="Standard 3" xfId="36" xr:uid="{00000000-0005-0000-0000-000019000000}"/>
    <cellStyle name="Standard 4" xfId="11" xr:uid="{00000000-0005-0000-0000-00001A000000}"/>
    <cellStyle name="Standard 5" xfId="5" xr:uid="{00000000-0005-0000-0000-00001B000000}"/>
    <cellStyle name="Standard 6" xfId="39" xr:uid="{F87D3951-C462-43FF-9F05-E7BC0C1EED08}"/>
    <cellStyle name="Standard_Rating-Tool_BWO_2005KOPIE.xls" xfId="6" xr:uid="{00000000-0005-0000-0000-00001C000000}"/>
    <cellStyle name="Standard_WFG_Kostenstufen_2003" xfId="2" xr:uid="{00000000-0005-0000-0000-00001D000000}"/>
    <cellStyle name="Überschrift 1 2" xfId="29" xr:uid="{00000000-0005-0000-0000-00001E000000}"/>
    <cellStyle name="Überschrift 2 2" xfId="30" xr:uid="{00000000-0005-0000-0000-00001F000000}"/>
    <cellStyle name="Überschrift 3 2" xfId="31" xr:uid="{00000000-0005-0000-0000-000020000000}"/>
    <cellStyle name="Überschrift 4 2" xfId="32" xr:uid="{00000000-0005-0000-0000-000021000000}"/>
    <cellStyle name="Überschrift 5" xfId="28" xr:uid="{00000000-0005-0000-0000-000022000000}"/>
    <cellStyle name="Verknüpfte Zelle 2" xfId="33" xr:uid="{00000000-0005-0000-0000-000023000000}"/>
    <cellStyle name="Währung" xfId="37" builtinId="4"/>
    <cellStyle name="Warnender Text 2" xfId="34" xr:uid="{00000000-0005-0000-0000-000025000000}"/>
    <cellStyle name="Zelle überprüfen 2" xfId="35" xr:uid="{00000000-0005-0000-0000-000026000000}"/>
  </cellStyles>
  <dxfs count="9">
    <dxf>
      <font>
        <color rgb="FF000000"/>
      </font>
      <fill>
        <patternFill patternType="solid">
          <fgColor indexed="15"/>
          <bgColor rgb="FFFF0000"/>
        </patternFill>
      </fill>
    </dxf>
    <dxf>
      <font>
        <color rgb="FF000000"/>
      </font>
      <fill>
        <patternFill patternType="solid">
          <fgColor auto="1"/>
          <bgColor rgb="FF99FF99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/>
        <bottom/>
        <vertical style="hair">
          <color auto="1"/>
        </vertical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230465</xdr:colOff>
      <xdr:row>1</xdr:row>
      <xdr:rowOff>111760</xdr:rowOff>
    </xdr:from>
    <xdr:to>
      <xdr:col>3</xdr:col>
      <xdr:colOff>256619</xdr:colOff>
      <xdr:row>1</xdr:row>
      <xdr:rowOff>1038303</xdr:rowOff>
    </xdr:to>
    <xdr:pic>
      <xdr:nvPicPr>
        <xdr:cNvPr id="2" name="logo-CVCH-feuille-calcul.jpg">
          <a:extLst>
            <a:ext uri="{FF2B5EF4-FFF2-40B4-BE49-F238E27FC236}">
              <a16:creationId xmlns:a16="http://schemas.microsoft.com/office/drawing/2014/main" id="{7A12B9A8-8E23-415F-9F4C-18AA1A78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465" y="311785"/>
          <a:ext cx="1578729" cy="926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20</xdr:row>
      <xdr:rowOff>142875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20</xdr:row>
      <xdr:rowOff>142875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DADE93E-F69E-4B09-8EC7-4BBEE59AB316}"/>
            </a:ext>
          </a:extLst>
        </xdr:cNvPr>
        <xdr:cNvSpPr txBox="1"/>
      </xdr:nvSpPr>
      <xdr:spPr>
        <a:xfrm>
          <a:off x="6667500" y="38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816429</xdr:colOff>
      <xdr:row>2</xdr:row>
      <xdr:rowOff>258536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314229" y="639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509329" y="645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10</xdr:row>
      <xdr:rowOff>258536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6208BF92-A302-4270-AE8A-D3A3B2D84B92}"/>
            </a:ext>
          </a:extLst>
        </xdr:cNvPr>
        <xdr:cNvSpPr txBox="1"/>
      </xdr:nvSpPr>
      <xdr:spPr>
        <a:xfrm>
          <a:off x="19409229" y="64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10</xdr:row>
      <xdr:rowOff>258536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54F1F823-E9F8-449A-9D65-1525F8BA7BEF}"/>
            </a:ext>
          </a:extLst>
        </xdr:cNvPr>
        <xdr:cNvSpPr txBox="1"/>
      </xdr:nvSpPr>
      <xdr:spPr>
        <a:xfrm>
          <a:off x="15276836" y="873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10</xdr:row>
      <xdr:rowOff>258536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4CEFAEB6-EF9D-4488-8141-BB77AFCD2700}"/>
            </a:ext>
          </a:extLst>
        </xdr:cNvPr>
        <xdr:cNvSpPr txBox="1"/>
      </xdr:nvSpPr>
      <xdr:spPr>
        <a:xfrm>
          <a:off x="15589314" y="64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10</xdr:row>
      <xdr:rowOff>258536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22436B40-6B2E-4DAB-9C22-84B8002A412C}"/>
            </a:ext>
          </a:extLst>
        </xdr:cNvPr>
        <xdr:cNvSpPr txBox="1"/>
      </xdr:nvSpPr>
      <xdr:spPr>
        <a:xfrm>
          <a:off x="15589314" y="64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11</xdr:row>
      <xdr:rowOff>258536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F6236780-F796-44C8-B998-F4BF9108E9CD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11</xdr:row>
      <xdr:rowOff>258536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3E2250F1-F86D-4A75-BF83-3BD62E49919E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11</xdr:row>
      <xdr:rowOff>258536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E1EFD8CA-C01D-4A37-B17A-5F43696DE4DE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11</xdr:row>
      <xdr:rowOff>258536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5E8DCEA1-7F2D-4F86-A41E-7E9875D2CB24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12</xdr:row>
      <xdr:rowOff>258536</xdr:rowOff>
    </xdr:from>
    <xdr:ext cx="184731" cy="26456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EBED08E0-15E2-497E-915E-870DB2F58CC3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12</xdr:row>
      <xdr:rowOff>258536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1AE1FF19-1C8C-4B02-A973-0FF72E8C5686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12</xdr:row>
      <xdr:rowOff>258536</xdr:rowOff>
    </xdr:from>
    <xdr:ext cx="184731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8001F45B-B664-4241-9ACB-247E1729F0A3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12</xdr:row>
      <xdr:rowOff>258536</xdr:rowOff>
    </xdr:from>
    <xdr:ext cx="184731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B961A6C8-4DA2-45CB-BF0A-BD0FD8A55F37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13</xdr:row>
      <xdr:rowOff>258536</xdr:rowOff>
    </xdr:from>
    <xdr:ext cx="184731" cy="264560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DAAA9AB0-C455-4E33-8791-6A94311DC889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13</xdr:row>
      <xdr:rowOff>258536</xdr:rowOff>
    </xdr:from>
    <xdr:ext cx="184731" cy="26456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D80540C5-D46A-4C56-85A9-536C0FB05F35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13</xdr:row>
      <xdr:rowOff>258536</xdr:rowOff>
    </xdr:from>
    <xdr:ext cx="184731" cy="264560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59C56C4-B571-4017-BADF-1E3680101F31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13</xdr:row>
      <xdr:rowOff>258536</xdr:rowOff>
    </xdr:from>
    <xdr:ext cx="184731" cy="264560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61383D79-683C-4A91-B3A6-3DC331B09ABB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14</xdr:row>
      <xdr:rowOff>258536</xdr:rowOff>
    </xdr:from>
    <xdr:ext cx="184731" cy="26456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E51891EE-6210-4797-93EB-B578F28F011C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14</xdr:row>
      <xdr:rowOff>258536</xdr:rowOff>
    </xdr:from>
    <xdr:ext cx="184731" cy="264560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D1992E85-17FB-4224-A7D1-FA8BBD23153B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14</xdr:row>
      <xdr:rowOff>258536</xdr:rowOff>
    </xdr:from>
    <xdr:ext cx="184731" cy="264560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8F1A0D0B-4C86-4F0E-967F-82A05326C02C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14</xdr:row>
      <xdr:rowOff>258536</xdr:rowOff>
    </xdr:from>
    <xdr:ext cx="184731" cy="26456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77A3FDAF-7A03-459D-893C-2920DD84054F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15</xdr:row>
      <xdr:rowOff>258536</xdr:rowOff>
    </xdr:from>
    <xdr:ext cx="184731" cy="264560"/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4A3FFC08-3F36-4293-B37C-32CC39B9AF55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15</xdr:row>
      <xdr:rowOff>258536</xdr:rowOff>
    </xdr:from>
    <xdr:ext cx="184731" cy="264560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BC941F73-B727-4CFC-973E-9965F8B98D2C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15</xdr:row>
      <xdr:rowOff>258536</xdr:rowOff>
    </xdr:from>
    <xdr:ext cx="184731" cy="26456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C4330A6-19FB-4F88-BEDA-6D4738D4CA28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15</xdr:row>
      <xdr:rowOff>258536</xdr:rowOff>
    </xdr:from>
    <xdr:ext cx="184731" cy="264560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2B26269D-8EF0-4D51-B2AE-253D91399AB9}"/>
            </a:ext>
          </a:extLst>
        </xdr:cNvPr>
        <xdr:cNvSpPr txBox="1"/>
      </xdr:nvSpPr>
      <xdr:spPr>
        <a:xfrm>
          <a:off x="15580926" y="2477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18</xdr:row>
      <xdr:rowOff>258536</xdr:rowOff>
    </xdr:from>
    <xdr:ext cx="184731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D47A0AFE-DE64-4F4B-AE0E-838DA7604A69}"/>
            </a:ext>
          </a:extLst>
        </xdr:cNvPr>
        <xdr:cNvSpPr txBox="1"/>
      </xdr:nvSpPr>
      <xdr:spPr>
        <a:xfrm>
          <a:off x="15580926" y="2470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18</xdr:row>
      <xdr:rowOff>258536</xdr:rowOff>
    </xdr:from>
    <xdr:ext cx="184731" cy="26456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2711FE38-2A10-4E02-8743-F1A7B33A15E0}"/>
            </a:ext>
          </a:extLst>
        </xdr:cNvPr>
        <xdr:cNvSpPr txBox="1"/>
      </xdr:nvSpPr>
      <xdr:spPr>
        <a:xfrm>
          <a:off x="15580926" y="24703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54BD441E-860A-47F7-AF70-14E6840882FB}"/>
            </a:ext>
          </a:extLst>
        </xdr:cNvPr>
        <xdr:cNvSpPr txBox="1"/>
      </xdr:nvSpPr>
      <xdr:spPr>
        <a:xfrm>
          <a:off x="15580926" y="2664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52B0B86B-75D4-4FC0-8981-BB190AD5F485}"/>
            </a:ext>
          </a:extLst>
        </xdr:cNvPr>
        <xdr:cNvSpPr txBox="1"/>
      </xdr:nvSpPr>
      <xdr:spPr>
        <a:xfrm>
          <a:off x="15580926" y="2664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84366ADF-054F-4A15-8726-1080AAF627B8}"/>
            </a:ext>
          </a:extLst>
        </xdr:cNvPr>
        <xdr:cNvSpPr txBox="1"/>
      </xdr:nvSpPr>
      <xdr:spPr>
        <a:xfrm>
          <a:off x="15580926" y="2664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197E971B-3CF2-47A1-A16C-723F34050E96}"/>
            </a:ext>
          </a:extLst>
        </xdr:cNvPr>
        <xdr:cNvSpPr txBox="1"/>
      </xdr:nvSpPr>
      <xdr:spPr>
        <a:xfrm>
          <a:off x="15580926" y="2664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3028F352-380D-4FEF-8907-DD4654374A32}"/>
            </a:ext>
          </a:extLst>
        </xdr:cNvPr>
        <xdr:cNvSpPr txBox="1"/>
      </xdr:nvSpPr>
      <xdr:spPr>
        <a:xfrm>
          <a:off x="15580926" y="2858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D695C9D2-7CD6-4A85-BBD1-E6CCA48F0352}"/>
            </a:ext>
          </a:extLst>
        </xdr:cNvPr>
        <xdr:cNvSpPr txBox="1"/>
      </xdr:nvSpPr>
      <xdr:spPr>
        <a:xfrm>
          <a:off x="15580926" y="2858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99001FB5-3497-4FFE-9047-19F1CDAE10DA}"/>
            </a:ext>
          </a:extLst>
        </xdr:cNvPr>
        <xdr:cNvSpPr txBox="1"/>
      </xdr:nvSpPr>
      <xdr:spPr>
        <a:xfrm>
          <a:off x="15580926" y="2858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71632C85-2711-4E98-8335-528C2D907006}"/>
            </a:ext>
          </a:extLst>
        </xdr:cNvPr>
        <xdr:cNvSpPr txBox="1"/>
      </xdr:nvSpPr>
      <xdr:spPr>
        <a:xfrm>
          <a:off x="15580926" y="2858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CBB1B0E6-1820-4A9D-99EC-BF96DA8A78AE}"/>
            </a:ext>
          </a:extLst>
        </xdr:cNvPr>
        <xdr:cNvSpPr txBox="1"/>
      </xdr:nvSpPr>
      <xdr:spPr>
        <a:xfrm>
          <a:off x="15580926" y="311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E9845093-3658-44C1-AE50-6E23102B0A61}"/>
            </a:ext>
          </a:extLst>
        </xdr:cNvPr>
        <xdr:cNvSpPr txBox="1"/>
      </xdr:nvSpPr>
      <xdr:spPr>
        <a:xfrm>
          <a:off x="15580926" y="311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781F85CF-1820-4331-AAB0-A020E8D30ACF}"/>
            </a:ext>
          </a:extLst>
        </xdr:cNvPr>
        <xdr:cNvSpPr txBox="1"/>
      </xdr:nvSpPr>
      <xdr:spPr>
        <a:xfrm>
          <a:off x="15580926" y="311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068DE6BF-479A-4D0D-ABFC-F787BC4DDB9C}"/>
            </a:ext>
          </a:extLst>
        </xdr:cNvPr>
        <xdr:cNvSpPr txBox="1"/>
      </xdr:nvSpPr>
      <xdr:spPr>
        <a:xfrm>
          <a:off x="15580926" y="311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4791FCA6-786C-44FB-9B89-F453DD8779D2}"/>
            </a:ext>
          </a:extLst>
        </xdr:cNvPr>
        <xdr:cNvSpPr txBox="1"/>
      </xdr:nvSpPr>
      <xdr:spPr>
        <a:xfrm>
          <a:off x="15580926" y="3299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7CA17F73-6C40-4535-922D-28E7FD3FF4AB}"/>
            </a:ext>
          </a:extLst>
        </xdr:cNvPr>
        <xdr:cNvSpPr txBox="1"/>
      </xdr:nvSpPr>
      <xdr:spPr>
        <a:xfrm>
          <a:off x="15580926" y="3299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A8E1F297-9799-4DA9-8636-D3D6A6F3CD2D}"/>
            </a:ext>
          </a:extLst>
        </xdr:cNvPr>
        <xdr:cNvSpPr txBox="1"/>
      </xdr:nvSpPr>
      <xdr:spPr>
        <a:xfrm>
          <a:off x="15580926" y="3299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AC0E5D3E-D4A5-4B14-A126-8FF2E32DD615}"/>
            </a:ext>
          </a:extLst>
        </xdr:cNvPr>
        <xdr:cNvSpPr txBox="1"/>
      </xdr:nvSpPr>
      <xdr:spPr>
        <a:xfrm>
          <a:off x="15580926" y="3299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50" name="Textfeld 49">
          <a:extLst>
            <a:ext uri="{FF2B5EF4-FFF2-40B4-BE49-F238E27FC236}">
              <a16:creationId xmlns:a16="http://schemas.microsoft.com/office/drawing/2014/main" id="{1D8ECED1-EDE5-4352-B005-3CEF744644F3}"/>
            </a:ext>
          </a:extLst>
        </xdr:cNvPr>
        <xdr:cNvSpPr txBox="1"/>
      </xdr:nvSpPr>
      <xdr:spPr>
        <a:xfrm>
          <a:off x="15580926" y="3493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F847FADC-FF48-4E62-9AB8-D91ECA4CCD9E}"/>
            </a:ext>
          </a:extLst>
        </xdr:cNvPr>
        <xdr:cNvSpPr txBox="1"/>
      </xdr:nvSpPr>
      <xdr:spPr>
        <a:xfrm>
          <a:off x="15580926" y="3493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112FEE6F-E8B3-47B8-9070-7D201D955FAA}"/>
            </a:ext>
          </a:extLst>
        </xdr:cNvPr>
        <xdr:cNvSpPr txBox="1"/>
      </xdr:nvSpPr>
      <xdr:spPr>
        <a:xfrm>
          <a:off x="15580926" y="3493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C77CBCA1-82BA-4AD6-AEC4-A3799E4EEE9F}"/>
            </a:ext>
          </a:extLst>
        </xdr:cNvPr>
        <xdr:cNvSpPr txBox="1"/>
      </xdr:nvSpPr>
      <xdr:spPr>
        <a:xfrm>
          <a:off x="15580926" y="3493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771FED84-4D35-4D6D-A764-859293C31C8A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BB2AD9A3-E3E1-410E-839A-07B0FB9D3B2C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6D957256-AD75-4C44-8832-8DE1D34B8F78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19</xdr:row>
      <xdr:rowOff>258536</xdr:rowOff>
    </xdr:from>
    <xdr:ext cx="184731" cy="264560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F1D6B337-B8D0-4AC1-9393-072A8F5A61CD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1CA7ABF0-BCFA-4779-870C-96BF5DEF1E97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59D384DA-3D81-42A7-B233-C653FC860CF2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4A699086-066C-49D8-81F8-5F6B40DB683A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20</xdr:row>
      <xdr:rowOff>258536</xdr:rowOff>
    </xdr:from>
    <xdr:ext cx="184731" cy="26456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A8A05C1E-FAA4-4864-8B0D-C213BC6E8673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62" name="Textfeld 61">
          <a:extLst>
            <a:ext uri="{FF2B5EF4-FFF2-40B4-BE49-F238E27FC236}">
              <a16:creationId xmlns:a16="http://schemas.microsoft.com/office/drawing/2014/main" id="{515A6443-0910-415B-A750-E8C3DFE0983B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8A4A6F3A-21A8-4990-AE9B-CAC996A236BD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B28D8056-03E2-4202-8D2B-4923442FF8EF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21</xdr:row>
      <xdr:rowOff>258536</xdr:rowOff>
    </xdr:from>
    <xdr:ext cx="184731" cy="264560"/>
    <xdr:sp macro="" textlink="">
      <xdr:nvSpPr>
        <xdr:cNvPr id="65" name="Textfeld 64">
          <a:extLst>
            <a:ext uri="{FF2B5EF4-FFF2-40B4-BE49-F238E27FC236}">
              <a16:creationId xmlns:a16="http://schemas.microsoft.com/office/drawing/2014/main" id="{489A17A8-BEB5-4CBC-B2D8-64AF827424A3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3EB13311-2E96-472F-938C-227FF4173D6A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3481098F-CECB-4672-8AF8-8229C0504D88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14D8E6CF-F4B4-427A-B4F2-BAE3241E6FF8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22</xdr:row>
      <xdr:rowOff>258536</xdr:rowOff>
    </xdr:from>
    <xdr:ext cx="184731" cy="264560"/>
    <xdr:sp macro="" textlink="">
      <xdr:nvSpPr>
        <xdr:cNvPr id="69" name="Textfeld 68">
          <a:extLst>
            <a:ext uri="{FF2B5EF4-FFF2-40B4-BE49-F238E27FC236}">
              <a16:creationId xmlns:a16="http://schemas.microsoft.com/office/drawing/2014/main" id="{BE989FC1-CEF2-4825-8D8E-FCE8CF4360E0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7466E94F-B515-4192-AFB9-EF67FDD8603D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71" name="Textfeld 70">
          <a:extLst>
            <a:ext uri="{FF2B5EF4-FFF2-40B4-BE49-F238E27FC236}">
              <a16:creationId xmlns:a16="http://schemas.microsoft.com/office/drawing/2014/main" id="{05844821-031B-4FAF-A671-A9690D6BE0CF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267E79C0-3323-4588-AE0E-65C6B884301A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18</xdr:col>
      <xdr:colOff>816429</xdr:colOff>
      <xdr:row>23</xdr:row>
      <xdr:rowOff>258536</xdr:rowOff>
    </xdr:from>
    <xdr:ext cx="184731" cy="264560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C4BC1021-7AE4-42F1-B6A9-6F6F78437C7B}"/>
            </a:ext>
          </a:extLst>
        </xdr:cNvPr>
        <xdr:cNvSpPr txBox="1"/>
      </xdr:nvSpPr>
      <xdr:spPr>
        <a:xfrm>
          <a:off x="15580926" y="4069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tizen\Gemeinderating\Homespsc\Desktop\Rating-Tool_BWO_2005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ckpit"/>
      <sheetName val="Daten EFH"/>
      <sheetName val="Daten MWHG"/>
      <sheetName val="Hilfsblatt"/>
    </sheetNames>
    <sheetDataSet>
      <sheetData sheetId="0">
        <row r="15">
          <cell r="D15">
            <v>2</v>
          </cell>
        </row>
        <row r="24">
          <cell r="D24" t="str">
            <v>Affoltern am Albis (ZH)</v>
          </cell>
        </row>
        <row r="26">
          <cell r="D26">
            <v>2.1</v>
          </cell>
        </row>
        <row r="30">
          <cell r="F30">
            <v>14.8</v>
          </cell>
          <cell r="G30">
            <v>0.95</v>
          </cell>
        </row>
        <row r="31">
          <cell r="F31">
            <v>0.22528433945756782</v>
          </cell>
          <cell r="G31">
            <v>0.2</v>
          </cell>
        </row>
        <row r="32">
          <cell r="F32">
            <v>10166</v>
          </cell>
          <cell r="G32">
            <v>0.99</v>
          </cell>
        </row>
        <row r="33">
          <cell r="F33">
            <v>1030</v>
          </cell>
          <cell r="G33">
            <v>0.99</v>
          </cell>
        </row>
        <row r="34">
          <cell r="F34">
            <v>0.9779126213592233</v>
          </cell>
          <cell r="G34">
            <v>0.2</v>
          </cell>
        </row>
        <row r="35">
          <cell r="F35">
            <v>0.99320388349514566</v>
          </cell>
          <cell r="G35">
            <v>0.3</v>
          </cell>
        </row>
        <row r="36">
          <cell r="F36">
            <v>499.20151309312052</v>
          </cell>
          <cell r="G36">
            <v>0.6</v>
          </cell>
        </row>
        <row r="37">
          <cell r="F37">
            <v>0.10588235294117647</v>
          </cell>
          <cell r="G37">
            <v>0.7</v>
          </cell>
        </row>
        <row r="38">
          <cell r="F38">
            <v>5495.2601898910698</v>
          </cell>
          <cell r="G38">
            <v>0.95</v>
          </cell>
        </row>
        <row r="39">
          <cell r="F39">
            <v>1712024</v>
          </cell>
          <cell r="G39">
            <v>0.9</v>
          </cell>
        </row>
        <row r="40">
          <cell r="F40">
            <v>847936.66666666663</v>
          </cell>
          <cell r="G40">
            <v>0.95</v>
          </cell>
        </row>
        <row r="41">
          <cell r="F41">
            <v>2.2999999999999998</v>
          </cell>
          <cell r="G41">
            <v>0.2</v>
          </cell>
        </row>
        <row r="42">
          <cell r="F42">
            <v>65250.12</v>
          </cell>
          <cell r="G42">
            <v>0.9</v>
          </cell>
        </row>
        <row r="43">
          <cell r="F43">
            <v>4.3534757016114423E-2</v>
          </cell>
          <cell r="G43">
            <v>0.9</v>
          </cell>
        </row>
        <row r="44">
          <cell r="F44">
            <v>0.34427312775330399</v>
          </cell>
          <cell r="G44">
            <v>0.9</v>
          </cell>
        </row>
        <row r="45">
          <cell r="F45">
            <v>4.6232539838677944E-3</v>
          </cell>
          <cell r="G45">
            <v>0.8</v>
          </cell>
        </row>
        <row r="46">
          <cell r="F46">
            <v>-1.1705685618729096E-2</v>
          </cell>
          <cell r="G46">
            <v>0.2</v>
          </cell>
        </row>
        <row r="47">
          <cell r="F47">
            <v>6.4176243108017041E-4</v>
          </cell>
          <cell r="G47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CE1F93-D5B3-4967-B823-C49F593A5B4A}" name="Tabelle1" displayName="Tabelle1" ref="A1:E301" totalsRowShown="0" headerRowDxfId="8" dataDxfId="7" tableBorderDxfId="6" headerRowCellStyle="Standard_Rating-Tool_BWO_2005KOPIE.xls">
  <autoFilter ref="A1:E301" xr:uid="{02CE1F93-D5B3-4967-B823-C49F593A5B4A}"/>
  <sortState xmlns:xlrd2="http://schemas.microsoft.com/office/spreadsheetml/2017/richdata2" ref="A2:E301">
    <sortCondition ref="A2:A301"/>
  </sortState>
  <tableColumns count="5">
    <tableColumn id="1" xr3:uid="{0213E4C0-B779-4A3A-AD33-640D7D6B866B}" name="Gemeinde"/>
    <tableColumn id="2" xr3:uid="{518A5F5E-76DC-492B-8C54-3B70154505AF}" name="Kanton" dataDxfId="5"/>
    <tableColumn id="3" xr3:uid="{30517818-E66B-40E9-9596-FFA514356D96}" name="Miete" dataDxfId="4"/>
    <tableColumn id="4" xr3:uid="{22E1BB9B-5884-425E-9F3E-19DF9759B970}" name="STWE" dataDxfId="3"/>
    <tableColumn id="5" xr3:uid="{C00D611D-2A71-45C1-9387-82862CDD717C}" name="EFH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D21D-912D-4131-B231-911D9609A3AF}">
  <sheetPr>
    <pageSetUpPr fitToPage="1"/>
  </sheetPr>
  <dimension ref="A2:L37"/>
  <sheetViews>
    <sheetView showGridLines="0" tabSelected="1" workbookViewId="0">
      <selection activeCell="F2" sqref="F2"/>
    </sheetView>
  </sheetViews>
  <sheetFormatPr baseColWidth="10" defaultColWidth="9.5" defaultRowHeight="15.95" customHeight="1"/>
  <cols>
    <col min="1" max="1" width="4" style="184" customWidth="1"/>
    <col min="2" max="2" width="3.625" style="184" customWidth="1"/>
    <col min="3" max="3" width="12.75" style="184" customWidth="1"/>
    <col min="4" max="4" width="12.125" style="184" customWidth="1"/>
    <col min="5" max="5" width="8.75" style="184" customWidth="1"/>
    <col min="6" max="6" width="11" style="184" customWidth="1"/>
    <col min="7" max="7" width="12.125" style="184" customWidth="1"/>
    <col min="8" max="8" width="10.5" style="184" customWidth="1"/>
    <col min="9" max="9" width="3" style="184" customWidth="1"/>
    <col min="10" max="10" width="13" style="184" customWidth="1"/>
    <col min="11" max="11" width="4.625" style="184" customWidth="1"/>
    <col min="12" max="12" width="9.5" style="184" customWidth="1"/>
    <col min="13" max="16384" width="9.5" style="184"/>
  </cols>
  <sheetData>
    <row r="2" spans="1:12" ht="116.1" customHeight="1">
      <c r="A2" s="297"/>
      <c r="B2" s="298"/>
      <c r="C2" s="298"/>
      <c r="D2" s="298"/>
      <c r="E2" s="182"/>
      <c r="F2" s="182"/>
      <c r="G2" s="278" t="s">
        <v>486</v>
      </c>
      <c r="H2" s="299">
        <f ca="1">TODAY()</f>
        <v>45672</v>
      </c>
      <c r="I2" s="300"/>
      <c r="J2" s="300"/>
      <c r="K2" s="183"/>
    </row>
    <row r="3" spans="1:12" ht="18" customHeight="1">
      <c r="A3" s="185"/>
      <c r="B3" s="186" t="s">
        <v>430</v>
      </c>
      <c r="C3" s="187"/>
      <c r="D3" s="187"/>
      <c r="E3" s="187"/>
      <c r="F3" s="187"/>
      <c r="G3" s="187"/>
      <c r="H3" s="279" t="s">
        <v>484</v>
      </c>
      <c r="I3" s="187"/>
      <c r="J3" s="268"/>
      <c r="K3" s="189"/>
    </row>
    <row r="4" spans="1:12" ht="15.95" customHeight="1">
      <c r="A4" s="185"/>
      <c r="B4" s="190" t="s">
        <v>431</v>
      </c>
      <c r="C4" s="191" t="s">
        <v>432</v>
      </c>
      <c r="D4" s="192" t="s">
        <v>433</v>
      </c>
      <c r="E4" s="178">
        <v>1</v>
      </c>
      <c r="F4" s="193" t="s">
        <v>483</v>
      </c>
      <c r="G4" s="187"/>
      <c r="H4" s="280">
        <f>J4/E4</f>
        <v>1</v>
      </c>
      <c r="I4" s="195"/>
      <c r="J4" s="179">
        <v>1</v>
      </c>
      <c r="K4" s="189"/>
    </row>
    <row r="5" spans="1:12" ht="15.95" customHeight="1" thickBot="1">
      <c r="A5" s="185"/>
      <c r="B5" s="190" t="s">
        <v>434</v>
      </c>
      <c r="C5" s="196" t="s">
        <v>435</v>
      </c>
      <c r="D5" s="187"/>
      <c r="E5" s="188"/>
      <c r="F5" s="187"/>
      <c r="G5" s="187"/>
      <c r="H5" s="281"/>
      <c r="I5" s="195"/>
      <c r="J5" s="179">
        <v>0</v>
      </c>
      <c r="K5" s="189"/>
    </row>
    <row r="6" spans="1:12" ht="15.95" customHeight="1">
      <c r="A6" s="185"/>
      <c r="B6" s="190" t="s">
        <v>436</v>
      </c>
      <c r="C6" s="197" t="s">
        <v>485</v>
      </c>
      <c r="D6" s="187"/>
      <c r="E6" s="301">
        <f>MAX(_xlfn.IFNA(PPE!E50,0),_xlfn.IFNA('Maison indiv. - en rangée'!E50,0))</f>
        <v>0</v>
      </c>
      <c r="F6" s="302"/>
      <c r="G6" s="277" t="s">
        <v>487</v>
      </c>
      <c r="H6" s="187"/>
      <c r="I6" s="194"/>
      <c r="J6" s="198">
        <f>SUM(J4:J5)</f>
        <v>1</v>
      </c>
      <c r="K6" s="189"/>
      <c r="L6" s="276" t="s">
        <v>437</v>
      </c>
    </row>
    <row r="7" spans="1:12" ht="15.95" customHeight="1" thickBot="1">
      <c r="A7" s="185"/>
      <c r="B7" s="190" t="s">
        <v>438</v>
      </c>
      <c r="C7" s="191" t="s">
        <v>439</v>
      </c>
      <c r="D7" s="187"/>
      <c r="E7" s="199"/>
      <c r="F7" s="199"/>
      <c r="G7" s="187"/>
      <c r="H7" s="187"/>
      <c r="I7" s="194"/>
      <c r="J7" s="200">
        <f>J4*5%</f>
        <v>0.05</v>
      </c>
      <c r="K7" s="189"/>
    </row>
    <row r="8" spans="1:12" ht="15.95" customHeight="1">
      <c r="A8" s="185"/>
      <c r="B8" s="190" t="s">
        <v>440</v>
      </c>
      <c r="C8" s="201" t="s">
        <v>441</v>
      </c>
      <c r="D8" s="202"/>
      <c r="E8" s="202"/>
      <c r="F8" s="202"/>
      <c r="G8" s="202"/>
      <c r="H8" s="202"/>
      <c r="I8" s="194"/>
      <c r="J8" s="198">
        <f>SUM(J6:J7)</f>
        <v>1.05</v>
      </c>
      <c r="K8" s="189"/>
    </row>
    <row r="9" spans="1:12" ht="15.95" customHeight="1">
      <c r="A9" s="185"/>
      <c r="B9" s="203"/>
      <c r="C9" s="202"/>
      <c r="D9" s="202"/>
      <c r="E9" s="202" t="s">
        <v>442</v>
      </c>
      <c r="F9" s="202"/>
      <c r="G9" s="202"/>
      <c r="H9" s="202"/>
      <c r="I9" s="194"/>
      <c r="J9" s="204"/>
      <c r="K9" s="189"/>
    </row>
    <row r="10" spans="1:12" ht="15.95" customHeight="1">
      <c r="A10" s="205"/>
      <c r="B10" s="206" t="s">
        <v>443</v>
      </c>
      <c r="C10" s="207"/>
      <c r="D10" s="207"/>
      <c r="E10" s="207"/>
      <c r="F10" s="207"/>
      <c r="G10" s="207"/>
      <c r="H10" s="207"/>
      <c r="I10" s="208"/>
      <c r="J10" s="209"/>
      <c r="K10" s="189"/>
    </row>
    <row r="11" spans="1:12" ht="15.95" customHeight="1">
      <c r="A11" s="205"/>
      <c r="B11" s="210"/>
      <c r="C11" s="211" t="s">
        <v>444</v>
      </c>
      <c r="D11" s="212"/>
      <c r="E11" s="212"/>
      <c r="F11" s="212"/>
      <c r="G11" s="212"/>
      <c r="H11" s="212"/>
      <c r="I11" s="213"/>
      <c r="J11" s="213"/>
      <c r="K11" s="189"/>
    </row>
    <row r="12" spans="1:12" ht="15.95" customHeight="1">
      <c r="A12" s="205"/>
      <c r="B12" s="214"/>
      <c r="C12" s="215" t="s">
        <v>445</v>
      </c>
      <c r="D12" s="216"/>
      <c r="E12" s="216"/>
      <c r="F12" s="216"/>
      <c r="G12" s="212"/>
      <c r="H12" s="212"/>
      <c r="I12" s="213"/>
      <c r="J12" s="213">
        <f>J7</f>
        <v>0.05</v>
      </c>
      <c r="K12" s="189"/>
    </row>
    <row r="13" spans="1:12" ht="15.95" customHeight="1">
      <c r="A13" s="205"/>
      <c r="B13" s="214"/>
      <c r="C13" s="217" t="s">
        <v>446</v>
      </c>
      <c r="D13" s="218"/>
      <c r="E13" s="218"/>
      <c r="F13" s="218"/>
      <c r="G13" s="219"/>
      <c r="H13" s="219"/>
      <c r="I13" s="220"/>
      <c r="J13" s="221">
        <f>J6*20%</f>
        <v>0.2</v>
      </c>
      <c r="K13" s="189"/>
    </row>
    <row r="14" spans="1:12" ht="15.95" customHeight="1">
      <c r="A14" s="205"/>
      <c r="B14" s="222"/>
      <c r="C14" s="223" t="s">
        <v>447</v>
      </c>
      <c r="D14" s="224"/>
      <c r="E14" s="224"/>
      <c r="F14" s="224"/>
      <c r="G14" s="224"/>
      <c r="H14" s="224"/>
      <c r="I14" s="225"/>
      <c r="J14" s="226">
        <f>SUM(J12:J13)</f>
        <v>0.25</v>
      </c>
      <c r="K14" s="189"/>
    </row>
    <row r="15" spans="1:12" ht="15.95" customHeight="1">
      <c r="A15" s="185"/>
      <c r="B15" s="227"/>
      <c r="C15" s="228"/>
      <c r="D15" s="229"/>
      <c r="E15" s="229"/>
      <c r="F15" s="229"/>
      <c r="G15" s="229"/>
      <c r="H15" s="229"/>
      <c r="I15" s="230"/>
      <c r="J15" s="231"/>
      <c r="K15" s="189"/>
    </row>
    <row r="16" spans="1:12" ht="15.95" customHeight="1">
      <c r="A16" s="185"/>
      <c r="B16" s="232" t="s">
        <v>448</v>
      </c>
      <c r="C16" s="187"/>
      <c r="D16" s="187"/>
      <c r="E16" s="187"/>
      <c r="F16" s="187"/>
      <c r="G16" s="187"/>
      <c r="H16" s="187"/>
      <c r="I16" s="187"/>
      <c r="J16" s="187"/>
      <c r="K16" s="189"/>
    </row>
    <row r="17" spans="1:11" ht="15.95" customHeight="1">
      <c r="A17" s="185"/>
      <c r="B17" s="203"/>
      <c r="C17" s="201" t="s">
        <v>449</v>
      </c>
      <c r="D17" s="187"/>
      <c r="E17" s="187"/>
      <c r="F17" s="187"/>
      <c r="G17" s="187"/>
      <c r="H17" s="187"/>
      <c r="I17" s="187"/>
      <c r="J17" s="233"/>
      <c r="K17" s="189"/>
    </row>
    <row r="18" spans="1:11" ht="15.95" customHeight="1">
      <c r="A18" s="185"/>
      <c r="B18" s="190" t="s">
        <v>450</v>
      </c>
      <c r="C18" s="191" t="s">
        <v>451</v>
      </c>
      <c r="D18" s="187"/>
      <c r="E18" s="187"/>
      <c r="F18" s="187"/>
      <c r="G18" s="187"/>
      <c r="H18" s="187"/>
      <c r="I18" s="187"/>
      <c r="J18" s="234">
        <f>J12</f>
        <v>0.05</v>
      </c>
      <c r="K18" s="189"/>
    </row>
    <row r="19" spans="1:11" ht="15.95" customHeight="1" thickBot="1">
      <c r="A19" s="185"/>
      <c r="B19" s="190" t="s">
        <v>452</v>
      </c>
      <c r="C19" s="235" t="s">
        <v>453</v>
      </c>
      <c r="D19" s="236"/>
      <c r="E19" s="236"/>
      <c r="F19" s="237">
        <f>J6*10%</f>
        <v>0.1</v>
      </c>
      <c r="G19" s="238" t="s">
        <v>454</v>
      </c>
      <c r="H19" s="239" t="s">
        <v>455</v>
      </c>
      <c r="I19" s="240"/>
      <c r="J19" s="181">
        <v>1</v>
      </c>
      <c r="K19" s="189"/>
    </row>
    <row r="20" spans="1:11" ht="15.95" customHeight="1">
      <c r="A20" s="185"/>
      <c r="B20" s="241" t="s">
        <v>456</v>
      </c>
      <c r="C20" s="242" t="s">
        <v>457</v>
      </c>
      <c r="D20" s="243"/>
      <c r="E20" s="243"/>
      <c r="F20" s="243"/>
      <c r="G20" s="244"/>
      <c r="H20" s="244"/>
      <c r="I20" s="245"/>
      <c r="J20" s="246">
        <f>J18+J19</f>
        <v>1.05</v>
      </c>
      <c r="K20" s="189"/>
    </row>
    <row r="21" spans="1:11" ht="15.95" customHeight="1">
      <c r="A21" s="185"/>
      <c r="B21" s="203"/>
      <c r="C21" s="247" t="s">
        <v>458</v>
      </c>
      <c r="D21" s="248"/>
      <c r="E21" s="248"/>
      <c r="F21" s="248"/>
      <c r="G21" s="248"/>
      <c r="H21" s="248"/>
      <c r="I21" s="249"/>
      <c r="J21" s="250"/>
      <c r="K21" s="189"/>
    </row>
    <row r="22" spans="1:11" ht="15.95" customHeight="1">
      <c r="A22" s="185"/>
      <c r="B22" s="190" t="s">
        <v>459</v>
      </c>
      <c r="C22" s="191" t="s">
        <v>460</v>
      </c>
      <c r="D22" s="187"/>
      <c r="E22" s="251">
        <v>0.8</v>
      </c>
      <c r="F22" s="251"/>
      <c r="G22" s="191" t="s">
        <v>461</v>
      </c>
      <c r="H22" s="187"/>
      <c r="I22" s="252"/>
      <c r="J22" s="253">
        <f>J6*E22</f>
        <v>0.8</v>
      </c>
      <c r="K22" s="189"/>
    </row>
    <row r="23" spans="1:11" ht="15.95" customHeight="1" thickBot="1">
      <c r="A23" s="185"/>
      <c r="B23" s="190" t="s">
        <v>462</v>
      </c>
      <c r="C23" s="191" t="s">
        <v>463</v>
      </c>
      <c r="D23" s="187"/>
      <c r="E23" s="199">
        <f>J23/J6</f>
        <v>-0.8</v>
      </c>
      <c r="F23" s="199"/>
      <c r="G23" s="191" t="s">
        <v>461</v>
      </c>
      <c r="H23" s="187"/>
      <c r="I23" s="252"/>
      <c r="J23" s="254">
        <f>J8-J20-J22</f>
        <v>-0.8</v>
      </c>
      <c r="K23" s="255"/>
    </row>
    <row r="24" spans="1:11" ht="15.95" customHeight="1">
      <c r="A24" s="185"/>
      <c r="B24" s="190" t="s">
        <v>464</v>
      </c>
      <c r="C24" s="201" t="s">
        <v>465</v>
      </c>
      <c r="D24" s="187"/>
      <c r="E24" s="187"/>
      <c r="F24" s="187"/>
      <c r="G24" s="199"/>
      <c r="H24" s="199"/>
      <c r="I24" s="256"/>
      <c r="J24" s="257">
        <f>SUM(J20:J23)</f>
        <v>1.05</v>
      </c>
      <c r="K24" s="189"/>
    </row>
    <row r="25" spans="1:11" ht="15.95" customHeight="1">
      <c r="A25" s="185"/>
      <c r="B25" s="203"/>
      <c r="C25" s="187"/>
      <c r="D25" s="187"/>
      <c r="E25" s="187"/>
      <c r="F25" s="187"/>
      <c r="G25" s="187"/>
      <c r="H25" s="187"/>
      <c r="I25" s="187"/>
      <c r="J25" s="248"/>
      <c r="K25" s="189"/>
    </row>
    <row r="26" spans="1:11" ht="15.95" customHeight="1">
      <c r="A26" s="185"/>
      <c r="B26" s="186" t="s">
        <v>466</v>
      </c>
      <c r="C26" s="187"/>
      <c r="D26" s="187"/>
      <c r="E26" s="187"/>
      <c r="F26" s="187"/>
      <c r="G26" s="187"/>
      <c r="H26" s="187"/>
      <c r="I26" s="187"/>
      <c r="J26" s="187"/>
      <c r="K26" s="189"/>
    </row>
    <row r="27" spans="1:11" ht="15.95" customHeight="1">
      <c r="A27" s="185"/>
      <c r="B27" s="190" t="s">
        <v>467</v>
      </c>
      <c r="C27" s="191" t="s">
        <v>468</v>
      </c>
      <c r="D27" s="199"/>
      <c r="E27" s="258"/>
      <c r="F27" s="258"/>
      <c r="G27" s="233">
        <f>J22</f>
        <v>0.8</v>
      </c>
      <c r="H27" s="259">
        <v>0.05</v>
      </c>
      <c r="I27" s="259"/>
      <c r="J27" s="233">
        <f>G27*H27</f>
        <v>4.0000000000000008E-2</v>
      </c>
      <c r="K27" s="260"/>
    </row>
    <row r="28" spans="1:11" ht="15.95" customHeight="1">
      <c r="A28" s="185"/>
      <c r="B28" s="190" t="s">
        <v>469</v>
      </c>
      <c r="C28" s="191" t="s">
        <v>463</v>
      </c>
      <c r="D28" s="199"/>
      <c r="E28" s="199"/>
      <c r="F28" s="199"/>
      <c r="G28" s="233">
        <f>J23</f>
        <v>-0.8</v>
      </c>
      <c r="H28" s="259">
        <f>H27</f>
        <v>0.05</v>
      </c>
      <c r="I28" s="259"/>
      <c r="J28" s="233">
        <f>G28*H28</f>
        <v>-4.0000000000000008E-2</v>
      </c>
      <c r="K28" s="189"/>
    </row>
    <row r="29" spans="1:11" ht="15.95" customHeight="1">
      <c r="A29" s="185"/>
      <c r="B29" s="190" t="s">
        <v>470</v>
      </c>
      <c r="C29" s="191" t="s">
        <v>471</v>
      </c>
      <c r="D29" s="187"/>
      <c r="E29" s="187"/>
      <c r="F29" s="187"/>
      <c r="G29" s="233">
        <f>SUM(G27:G28)</f>
        <v>0</v>
      </c>
      <c r="H29" s="259">
        <v>0.01</v>
      </c>
      <c r="I29" s="259"/>
      <c r="J29" s="233">
        <f>G29*H29</f>
        <v>0</v>
      </c>
      <c r="K29" s="189"/>
    </row>
    <row r="30" spans="1:11" ht="15.95" customHeight="1">
      <c r="A30" s="185"/>
      <c r="B30" s="190" t="s">
        <v>472</v>
      </c>
      <c r="C30" s="191" t="s">
        <v>473</v>
      </c>
      <c r="D30" s="187"/>
      <c r="E30" s="187"/>
      <c r="F30" s="187"/>
      <c r="G30" s="233">
        <f>J6</f>
        <v>1</v>
      </c>
      <c r="H30" s="259">
        <v>7.0000000000000001E-3</v>
      </c>
      <c r="I30" s="259"/>
      <c r="J30" s="261">
        <f>G30*H30</f>
        <v>7.0000000000000001E-3</v>
      </c>
      <c r="K30" s="189"/>
    </row>
    <row r="31" spans="1:11" ht="15.95" customHeight="1">
      <c r="A31" s="185"/>
      <c r="B31" s="190" t="s">
        <v>474</v>
      </c>
      <c r="C31" s="191" t="s">
        <v>475</v>
      </c>
      <c r="D31" s="187"/>
      <c r="E31" s="187"/>
      <c r="F31" s="187"/>
      <c r="G31" s="233"/>
      <c r="H31" s="259"/>
      <c r="I31" s="262"/>
      <c r="J31" s="179">
        <v>0</v>
      </c>
      <c r="K31" s="189"/>
    </row>
    <row r="32" spans="1:11" ht="15.95" customHeight="1">
      <c r="A32" s="185"/>
      <c r="B32" s="187"/>
      <c r="C32" s="201" t="s">
        <v>476</v>
      </c>
      <c r="D32" s="187"/>
      <c r="E32" s="187"/>
      <c r="F32" s="187"/>
      <c r="G32" s="187"/>
      <c r="H32" s="187"/>
      <c r="I32" s="259"/>
      <c r="J32" s="263">
        <f>SUM(J27:J31)</f>
        <v>7.0000000000000001E-3</v>
      </c>
      <c r="K32" s="189"/>
    </row>
    <row r="33" spans="1:11" ht="15.95" customHeight="1">
      <c r="A33" s="185"/>
      <c r="B33" s="187"/>
      <c r="C33" s="187"/>
      <c r="D33" s="187"/>
      <c r="E33" s="187"/>
      <c r="F33" s="187"/>
      <c r="G33" s="187"/>
      <c r="H33" s="187"/>
      <c r="I33" s="187"/>
      <c r="J33" s="233"/>
      <c r="K33" s="189"/>
    </row>
    <row r="34" spans="1:11" ht="15.95" customHeight="1">
      <c r="A34" s="185"/>
      <c r="B34" s="186" t="s">
        <v>477</v>
      </c>
      <c r="C34" s="187"/>
      <c r="D34" s="199"/>
      <c r="E34" s="187"/>
      <c r="F34" s="187"/>
      <c r="G34" s="264"/>
      <c r="H34" s="264"/>
      <c r="I34" s="187"/>
      <c r="J34" s="234">
        <f>J32/33.33%*100%</f>
        <v>2.1002100210021003E-2</v>
      </c>
      <c r="K34" s="189"/>
    </row>
    <row r="35" spans="1:11" ht="15.95" customHeight="1">
      <c r="A35" s="185"/>
      <c r="B35" s="190" t="s">
        <v>478</v>
      </c>
      <c r="C35" s="191" t="s">
        <v>479</v>
      </c>
      <c r="D35" s="187"/>
      <c r="E35" s="187"/>
      <c r="F35" s="187"/>
      <c r="G35" s="187"/>
      <c r="H35" s="187"/>
      <c r="I35" s="265"/>
      <c r="J35" s="179">
        <v>0</v>
      </c>
      <c r="K35" s="189"/>
    </row>
    <row r="36" spans="1:11" ht="18" customHeight="1">
      <c r="A36" s="185"/>
      <c r="B36" s="266" t="s">
        <v>480</v>
      </c>
      <c r="C36" s="267" t="s">
        <v>481</v>
      </c>
      <c r="D36" s="268"/>
      <c r="E36" s="268"/>
      <c r="F36" s="268"/>
      <c r="G36" s="268"/>
      <c r="H36" s="268"/>
      <c r="I36" s="269"/>
      <c r="J36" s="180">
        <v>0</v>
      </c>
      <c r="K36" s="189"/>
    </row>
    <row r="37" spans="1:11" ht="15.95" customHeight="1">
      <c r="A37" s="270"/>
      <c r="B37" s="271" t="s">
        <v>482</v>
      </c>
      <c r="C37" s="272"/>
      <c r="D37" s="272"/>
      <c r="E37" s="272"/>
      <c r="F37" s="272"/>
      <c r="G37" s="272"/>
      <c r="H37" s="272"/>
      <c r="I37" s="273"/>
      <c r="J37" s="274">
        <f>SUM(J34:J36)</f>
        <v>2.1002100210021003E-2</v>
      </c>
      <c r="K37" s="275"/>
    </row>
  </sheetData>
  <sheetProtection algorithmName="SHA-512" hashValue="znvwHwAPG0bewD5DRmWpDKhY95OoISzyyATm6qAYoZdEQm3Q5uw2F52PLu64TsJ4Wc2Cw91bEKF4ofPwkOt/Jg==" saltValue="IE4B4gD3Me9LEflDj0SSxA==" spinCount="100000" sheet="1" objects="1" scenarios="1"/>
  <mergeCells count="3">
    <mergeCell ref="A2:D2"/>
    <mergeCell ref="H2:J2"/>
    <mergeCell ref="E6:F6"/>
  </mergeCells>
  <conditionalFormatting sqref="J19">
    <cfRule type="cellIs" dxfId="1" priority="1" stopIfTrue="1" operator="greaterThanOrEqual">
      <formula>$F$19</formula>
    </cfRule>
    <cfRule type="cellIs" dxfId="0" priority="2" stopIfTrue="1" operator="lessThan">
      <formula>$F$19</formula>
    </cfRule>
  </conditionalFormatting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&amp;C&amp;"Calibri,Italique"&amp;16Simulateur de calcul</oddHeader>
    <oddFooter>&amp;LVersion : 03.2021&amp;C&amp;"Helvetica Neue,Normal"&amp;12&amp;K000000&amp;P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62"/>
  <sheetViews>
    <sheetView zoomScaleNormal="100" zoomScaleSheetLayoutView="120" workbookViewId="0">
      <selection activeCell="C3" sqref="C3:E3"/>
    </sheetView>
  </sheetViews>
  <sheetFormatPr baseColWidth="10" defaultColWidth="10.5" defaultRowHeight="14.25"/>
  <cols>
    <col min="1" max="1" width="3.5" customWidth="1"/>
    <col min="2" max="2" width="46" customWidth="1"/>
    <col min="3" max="3" width="9.75" customWidth="1"/>
    <col min="4" max="4" width="7.625" bestFit="1" customWidth="1"/>
    <col min="5" max="5" width="15.5" bestFit="1" customWidth="1"/>
    <col min="6" max="8" width="15.625" style="62" customWidth="1"/>
  </cols>
  <sheetData>
    <row r="1" spans="1:7" ht="24.95" customHeight="1">
      <c r="A1" s="305" t="s">
        <v>391</v>
      </c>
      <c r="B1" s="305"/>
      <c r="C1" s="305"/>
      <c r="D1" s="305"/>
      <c r="E1" s="305"/>
    </row>
    <row r="2" spans="1:7" ht="3" customHeight="1">
      <c r="B2" s="312"/>
      <c r="C2" s="312"/>
      <c r="D2" s="312"/>
      <c r="E2" s="312"/>
    </row>
    <row r="3" spans="1:7">
      <c r="A3" s="162" t="s">
        <v>392</v>
      </c>
      <c r="B3" s="115"/>
      <c r="C3" s="306" t="s">
        <v>17</v>
      </c>
      <c r="D3" s="306"/>
      <c r="E3" s="307"/>
      <c r="F3" s="303" t="s">
        <v>427</v>
      </c>
      <c r="G3" s="304"/>
    </row>
    <row r="4" spans="1:7">
      <c r="A4" s="163" t="s">
        <v>393</v>
      </c>
      <c r="B4" s="3"/>
      <c r="C4" s="308" t="s">
        <v>17</v>
      </c>
      <c r="D4" s="308"/>
      <c r="E4" s="309"/>
      <c r="F4" s="303"/>
      <c r="G4" s="304"/>
    </row>
    <row r="5" spans="1:7" ht="24.95" customHeight="1">
      <c r="A5" s="313" t="s">
        <v>394</v>
      </c>
      <c r="B5" s="314"/>
      <c r="C5" s="310"/>
      <c r="D5" s="310"/>
      <c r="E5" s="311"/>
      <c r="F5" s="303"/>
      <c r="G5" s="304"/>
    </row>
    <row r="6" spans="1:7" ht="20.100000000000001" customHeight="1">
      <c r="B6" s="25" t="s">
        <v>395</v>
      </c>
      <c r="C6" s="4" t="e">
        <f>VLOOKUP(C5,'Kostenstufen 2025'!A2:E355,3,FALSE)</f>
        <v>#N/A</v>
      </c>
      <c r="D6" s="3"/>
      <c r="E6" s="173"/>
    </row>
    <row r="7" spans="1:7" ht="20.100000000000001" customHeight="1">
      <c r="B7" s="174" t="s">
        <v>429</v>
      </c>
      <c r="C7" s="177">
        <v>0.15</v>
      </c>
      <c r="D7" s="3"/>
    </row>
    <row r="8" spans="1:7">
      <c r="B8" s="164" t="s">
        <v>396</v>
      </c>
      <c r="C8" s="2" t="e">
        <f>ROUNDUP(((VLOOKUP($C$6,'AKL 2025'!$K$3:$U$9,2,FALSE))*(1+$C$7)*2),-4)/2</f>
        <v>#N/A</v>
      </c>
      <c r="D8" s="3"/>
    </row>
    <row r="9" spans="1:7">
      <c r="B9" s="164" t="s">
        <v>397</v>
      </c>
      <c r="C9" s="2" t="e">
        <f>ROUNDUP(((VLOOKUP($C$6,'AKL 2025'!$K$3:$U$9,3,FALSE))*(1+$C$7)*2),-4)/2</f>
        <v>#N/A</v>
      </c>
      <c r="D9" s="3"/>
      <c r="E9" s="3"/>
    </row>
    <row r="10" spans="1:7">
      <c r="B10" s="164" t="s">
        <v>398</v>
      </c>
      <c r="C10" s="2" t="e">
        <f>ROUNDUP(((VLOOKUP($C$6,'AKL 2025'!$K$3:$U$9,4,FALSE))*(1+$C$7)*2),-4)/2</f>
        <v>#N/A</v>
      </c>
      <c r="D10" s="3"/>
      <c r="E10" s="3"/>
    </row>
    <row r="11" spans="1:7">
      <c r="B11" s="164" t="s">
        <v>399</v>
      </c>
      <c r="C11" s="2" t="e">
        <f>ROUNDUP(((VLOOKUP($C$6,'AKL 2025'!$K$3:$U$9,5,FALSE))*(1+$C$7)*2),-4)/2</f>
        <v>#N/A</v>
      </c>
      <c r="D11" s="3"/>
      <c r="E11" s="3"/>
    </row>
    <row r="12" spans="1:7">
      <c r="B12" s="164" t="s">
        <v>400</v>
      </c>
      <c r="C12" s="2" t="e">
        <f>ROUNDUP(((VLOOKUP($C$6,'AKL 2025'!$K$3:$U$9,6,FALSE))*(1+$C$7)*2),-4)/2</f>
        <v>#N/A</v>
      </c>
      <c r="D12" s="3"/>
      <c r="E12" s="3"/>
    </row>
    <row r="13" spans="1:7">
      <c r="B13" s="164" t="s">
        <v>401</v>
      </c>
      <c r="C13" s="2" t="e">
        <f>ROUNDUP(((VLOOKUP($C$6,'AKL 2025'!$K$3:$U$9,7,FALSE))*(1+$C$7)*2),-4)/2</f>
        <v>#N/A</v>
      </c>
      <c r="D13" s="3"/>
      <c r="E13" s="3"/>
    </row>
    <row r="14" spans="1:7">
      <c r="B14" s="164" t="s">
        <v>402</v>
      </c>
      <c r="C14" s="2" t="e">
        <f>ROUNDUP(((VLOOKUP($C$6,'AKL 2025'!$K$3:$U$9,8,FALSE))*(1+$C$7)*2),-4)/2</f>
        <v>#N/A</v>
      </c>
      <c r="D14" s="3"/>
      <c r="E14" s="3"/>
    </row>
    <row r="15" spans="1:7" ht="9.9499999999999993" customHeight="1">
      <c r="B15" s="165"/>
      <c r="C15" s="2"/>
      <c r="D15" s="3"/>
      <c r="E15" s="3"/>
    </row>
    <row r="16" spans="1:7">
      <c r="B16" s="26" t="s">
        <v>403</v>
      </c>
      <c r="C16" s="2" t="e">
        <f>ROUNDUP((VLOOKUP($C$6,'AKL 2025'!$K$3:$Y$9,12,FALSE))*(1+$C$7),-3)</f>
        <v>#N/A</v>
      </c>
      <c r="D16" s="3"/>
      <c r="E16" s="3"/>
    </row>
    <row r="17" spans="1:10">
      <c r="B17" s="26" t="s">
        <v>404</v>
      </c>
      <c r="C17" s="2" t="e">
        <f>ROUNDUP((VLOOKUP($C$6,'AKL 2025'!$K$3:$Y$9,13,FALSE))*(1+$C$7),-3)</f>
        <v>#N/A</v>
      </c>
      <c r="D17" s="3"/>
    </row>
    <row r="18" spans="1:10">
      <c r="B18" s="26" t="s">
        <v>405</v>
      </c>
      <c r="C18" s="2" t="e">
        <f>ROUNDUP((VLOOKUP($C$6,'AKL 2025'!$K$3:$Y$9,14,FALSE))*(1+$C$7),-3)</f>
        <v>#N/A</v>
      </c>
      <c r="D18" s="3"/>
      <c r="E18" s="3"/>
    </row>
    <row r="19" spans="1:10">
      <c r="B19" s="26" t="s">
        <v>406</v>
      </c>
      <c r="C19" s="2" t="e">
        <f>ROUNDUP((VLOOKUP($C$6,'AKL 2025'!$K$3:$Y$9,15,FALSE))*(1+$C$7),-3)</f>
        <v>#N/A</v>
      </c>
      <c r="D19" s="3"/>
    </row>
    <row r="20" spans="1:10" ht="20.100000000000001" customHeight="1">
      <c r="B20" s="26"/>
      <c r="C20" s="106"/>
      <c r="D20" s="3"/>
      <c r="E20" s="23"/>
    </row>
    <row r="21" spans="1:10" s="6" customFormat="1" ht="15">
      <c r="A21" s="27"/>
      <c r="B21" s="166" t="s">
        <v>407</v>
      </c>
      <c r="C21" s="166" t="s">
        <v>426</v>
      </c>
      <c r="D21" s="19"/>
      <c r="E21" s="20"/>
      <c r="F21" s="63"/>
      <c r="G21" s="63"/>
      <c r="H21" s="63"/>
    </row>
    <row r="22" spans="1:10" ht="9.9499999999999993" customHeight="1">
      <c r="A22" s="15"/>
      <c r="B22" s="3"/>
      <c r="C22" s="3"/>
      <c r="D22" s="4"/>
      <c r="E22" s="8"/>
    </row>
    <row r="23" spans="1:10">
      <c r="A23" s="33" t="s">
        <v>25</v>
      </c>
      <c r="B23" s="167" t="s">
        <v>408</v>
      </c>
      <c r="C23" s="79">
        <v>0</v>
      </c>
      <c r="D23" s="9" t="s">
        <v>1</v>
      </c>
      <c r="E23" s="10" t="e">
        <f t="shared" ref="E23:E29" si="0">C23*C8</f>
        <v>#N/A</v>
      </c>
    </row>
    <row r="24" spans="1:10">
      <c r="A24" s="33" t="s">
        <v>31</v>
      </c>
      <c r="B24" s="167" t="s">
        <v>409</v>
      </c>
      <c r="C24" s="79">
        <v>0</v>
      </c>
      <c r="D24" s="9" t="s">
        <v>1</v>
      </c>
      <c r="E24" s="10" t="e">
        <f t="shared" si="0"/>
        <v>#N/A</v>
      </c>
    </row>
    <row r="25" spans="1:10">
      <c r="A25" s="33" t="s">
        <v>26</v>
      </c>
      <c r="B25" s="167" t="s">
        <v>409</v>
      </c>
      <c r="C25" s="79">
        <v>0</v>
      </c>
      <c r="D25" s="9" t="s">
        <v>1</v>
      </c>
      <c r="E25" s="10" t="e">
        <f t="shared" si="0"/>
        <v>#N/A</v>
      </c>
    </row>
    <row r="26" spans="1:10">
      <c r="A26" s="33" t="s">
        <v>27</v>
      </c>
      <c r="B26" s="167" t="s">
        <v>409</v>
      </c>
      <c r="C26" s="79">
        <v>0</v>
      </c>
      <c r="D26" s="9" t="s">
        <v>1</v>
      </c>
      <c r="E26" s="10" t="e">
        <f t="shared" si="0"/>
        <v>#N/A</v>
      </c>
    </row>
    <row r="27" spans="1:10">
      <c r="A27" s="33" t="s">
        <v>28</v>
      </c>
      <c r="B27" s="167" t="s">
        <v>409</v>
      </c>
      <c r="C27" s="79">
        <v>0</v>
      </c>
      <c r="D27" s="9" t="s">
        <v>1</v>
      </c>
      <c r="E27" s="10" t="e">
        <f t="shared" si="0"/>
        <v>#N/A</v>
      </c>
      <c r="F27" s="71"/>
    </row>
    <row r="28" spans="1:10">
      <c r="A28" s="33" t="s">
        <v>29</v>
      </c>
      <c r="B28" s="167" t="s">
        <v>409</v>
      </c>
      <c r="C28" s="79">
        <v>0</v>
      </c>
      <c r="D28" s="9" t="s">
        <v>1</v>
      </c>
      <c r="E28" s="10" t="e">
        <f t="shared" si="0"/>
        <v>#N/A</v>
      </c>
      <c r="F28" s="71"/>
    </row>
    <row r="29" spans="1:10">
      <c r="A29" s="33" t="s">
        <v>30</v>
      </c>
      <c r="B29" s="167" t="s">
        <v>409</v>
      </c>
      <c r="C29" s="79">
        <v>0</v>
      </c>
      <c r="D29" s="9" t="s">
        <v>1</v>
      </c>
      <c r="E29" s="10" t="e">
        <f t="shared" si="0"/>
        <v>#N/A</v>
      </c>
      <c r="F29" s="71"/>
    </row>
    <row r="30" spans="1:10">
      <c r="A30" s="108"/>
      <c r="B30" s="167" t="s">
        <v>410</v>
      </c>
      <c r="C30" s="79">
        <v>0</v>
      </c>
      <c r="D30" s="9" t="s">
        <v>1</v>
      </c>
      <c r="E30" s="10" t="e">
        <f>C30*(VLOOKUP($C$6,'AKL 2025'!$K$3:$U$9,9,FALSE))</f>
        <v>#N/A</v>
      </c>
      <c r="F30" s="72"/>
      <c r="G30" s="64"/>
      <c r="H30" s="64"/>
      <c r="I30" s="5"/>
    </row>
    <row r="31" spans="1:10">
      <c r="A31" s="108"/>
      <c r="B31" s="167" t="s">
        <v>410</v>
      </c>
      <c r="C31" s="79">
        <v>0</v>
      </c>
      <c r="D31" s="9" t="s">
        <v>1</v>
      </c>
      <c r="E31" s="10" t="e">
        <f>C31*(VLOOKUP($C$6,'AKL 2025'!$K$3:$U$9,10,FALSE))</f>
        <v>#N/A</v>
      </c>
      <c r="F31" s="73"/>
      <c r="G31" s="65"/>
      <c r="H31" s="65"/>
      <c r="I31" s="61"/>
      <c r="J31" s="67"/>
    </row>
    <row r="32" spans="1:10">
      <c r="A32" s="108"/>
      <c r="B32" s="167" t="s">
        <v>410</v>
      </c>
      <c r="C32" s="79">
        <v>0</v>
      </c>
      <c r="D32" s="9" t="s">
        <v>1</v>
      </c>
      <c r="E32" s="10" t="e">
        <f>C32*(VLOOKUP($C$6,'AKL 2025'!$K$3:$U$9,11,FALSE))</f>
        <v>#N/A</v>
      </c>
      <c r="F32" s="319"/>
      <c r="G32" s="320"/>
      <c r="H32" s="320"/>
      <c r="I32" s="61"/>
      <c r="J32" s="67"/>
    </row>
    <row r="33" spans="1:10" s="5" customFormat="1" ht="14.25" customHeight="1">
      <c r="A33" s="29"/>
      <c r="B33" s="168" t="s">
        <v>411</v>
      </c>
      <c r="C33" s="18">
        <f>SUM(C23:C32)</f>
        <v>0</v>
      </c>
      <c r="D33" s="109"/>
      <c r="E33" s="110" t="e">
        <f>SUM(E23:E32)</f>
        <v>#N/A</v>
      </c>
      <c r="F33" s="318"/>
      <c r="G33" s="317"/>
      <c r="H33" s="317"/>
      <c r="I33" s="61"/>
      <c r="J33" s="61"/>
    </row>
    <row r="34" spans="1:10" ht="9.9499999999999993" customHeight="1">
      <c r="A34" s="15"/>
      <c r="B34" s="25"/>
      <c r="C34" s="3"/>
      <c r="D34" s="11"/>
      <c r="E34" s="10"/>
      <c r="F34" s="318"/>
      <c r="G34" s="317"/>
      <c r="H34" s="317"/>
      <c r="I34" s="61"/>
      <c r="J34" s="67"/>
    </row>
    <row r="35" spans="1:10">
      <c r="A35" s="15"/>
      <c r="B35" s="25" t="s">
        <v>412</v>
      </c>
      <c r="C35" s="79">
        <v>0</v>
      </c>
      <c r="D35" s="9" t="s">
        <v>1</v>
      </c>
      <c r="E35" s="10" t="e">
        <f>ROUND('AKL 2025'!G18,-4)</f>
        <v>#N/A</v>
      </c>
      <c r="F35" s="89"/>
      <c r="G35" s="65"/>
      <c r="H35" s="65"/>
      <c r="I35" s="61"/>
      <c r="J35" s="67"/>
    </row>
    <row r="36" spans="1:10">
      <c r="A36" s="15"/>
      <c r="B36" s="25" t="s">
        <v>413</v>
      </c>
      <c r="C36" s="79">
        <v>0</v>
      </c>
      <c r="D36" s="9" t="s">
        <v>1</v>
      </c>
      <c r="E36" s="10" t="e">
        <f>ROUND('AKL 2025'!G19,-4)</f>
        <v>#N/A</v>
      </c>
      <c r="F36" s="89"/>
      <c r="G36" s="65"/>
      <c r="H36" s="65"/>
      <c r="I36" s="61"/>
      <c r="J36" s="67"/>
    </row>
    <row r="37" spans="1:10">
      <c r="A37" s="15"/>
      <c r="B37" s="169" t="s">
        <v>414</v>
      </c>
      <c r="C37" s="7"/>
      <c r="D37" s="12" t="s">
        <v>1</v>
      </c>
      <c r="E37" s="111" t="e">
        <f>SUM(E23:E32)+E35+E36</f>
        <v>#N/A</v>
      </c>
      <c r="F37" s="73"/>
      <c r="G37" s="65"/>
      <c r="H37" s="65"/>
      <c r="I37" s="61"/>
      <c r="J37" s="67"/>
    </row>
    <row r="38" spans="1:10" ht="9.9499999999999993" customHeight="1">
      <c r="A38" s="15"/>
      <c r="B38" s="3"/>
      <c r="C38" s="3"/>
      <c r="D38" s="11"/>
      <c r="E38" s="10"/>
      <c r="F38" s="73"/>
      <c r="G38" s="65"/>
      <c r="H38" s="65"/>
      <c r="I38" s="61"/>
      <c r="J38" s="67"/>
    </row>
    <row r="39" spans="1:10" s="1" customFormat="1" ht="15.75">
      <c r="A39" s="30"/>
      <c r="B39" s="107" t="s">
        <v>16</v>
      </c>
      <c r="C39" s="105" t="s">
        <v>83</v>
      </c>
      <c r="D39" s="112" t="e">
        <f>VLOOKUP(B39,Nachhaltigkeisstandards!A15:C25,2,FALSE)</f>
        <v>#N/A</v>
      </c>
      <c r="E39" s="113" t="e">
        <f>ROUND((SUM($E$23:$E$32)+SUM($E$35:$E$36))*$D$39,-4)</f>
        <v>#N/A</v>
      </c>
      <c r="F39" s="74"/>
      <c r="G39" s="65"/>
      <c r="H39" s="65"/>
      <c r="I39" s="68"/>
      <c r="J39" s="69"/>
    </row>
    <row r="40" spans="1:10">
      <c r="A40" s="15"/>
      <c r="B40" s="107" t="s">
        <v>70</v>
      </c>
      <c r="C40" s="105" t="s">
        <v>83</v>
      </c>
      <c r="D40" s="112">
        <f>VLOOKUP(B40,'Hindernisfreie Bauten'!A9:B14,2,FALSE)</f>
        <v>0</v>
      </c>
      <c r="E40" s="113" t="e">
        <f>ROUND((SUM($E$23:$E$32)+SUM($E$35:$E$36))*$D$40,-4)</f>
        <v>#N/A</v>
      </c>
      <c r="F40" s="73"/>
      <c r="G40" s="65"/>
      <c r="H40" s="65"/>
      <c r="I40" s="61"/>
      <c r="J40" s="67"/>
    </row>
    <row r="41" spans="1:10" s="5" customFormat="1">
      <c r="A41" s="29"/>
      <c r="B41" s="170" t="s">
        <v>415</v>
      </c>
      <c r="C41" s="13"/>
      <c r="D41" s="114" t="s">
        <v>1</v>
      </c>
      <c r="E41" s="14" t="e">
        <f>SUM(E37:E40)</f>
        <v>#N/A</v>
      </c>
      <c r="F41" s="73"/>
      <c r="G41" s="65"/>
      <c r="H41" s="65"/>
      <c r="I41" s="61"/>
      <c r="J41" s="61"/>
    </row>
    <row r="42" spans="1:10" ht="9.9499999999999993" customHeight="1">
      <c r="A42" s="15"/>
      <c r="B42" s="3"/>
      <c r="C42" s="3"/>
      <c r="D42" s="11"/>
      <c r="E42" s="10"/>
      <c r="F42" s="73"/>
      <c r="G42" s="65"/>
      <c r="H42" s="65"/>
      <c r="I42" s="61"/>
      <c r="J42" s="67"/>
    </row>
    <row r="43" spans="1:10">
      <c r="A43" s="15"/>
      <c r="B43" s="25" t="s">
        <v>416</v>
      </c>
      <c r="C43" s="79">
        <v>0</v>
      </c>
      <c r="D43" s="9" t="s">
        <v>1</v>
      </c>
      <c r="E43" s="10" t="e">
        <f>C43*C16</f>
        <v>#N/A</v>
      </c>
      <c r="F43" s="73"/>
      <c r="G43" s="65"/>
      <c r="H43" s="65"/>
      <c r="I43" s="61"/>
      <c r="J43" s="67"/>
    </row>
    <row r="44" spans="1:10">
      <c r="A44" s="15"/>
      <c r="B44" s="25" t="s">
        <v>417</v>
      </c>
      <c r="C44" s="79">
        <v>0</v>
      </c>
      <c r="D44" s="9" t="s">
        <v>1</v>
      </c>
      <c r="E44" s="10" t="e">
        <f>C44*C17</f>
        <v>#N/A</v>
      </c>
      <c r="F44" s="73"/>
      <c r="G44" s="65"/>
      <c r="H44" s="65"/>
      <c r="I44" s="61"/>
      <c r="J44" s="67"/>
    </row>
    <row r="45" spans="1:10">
      <c r="A45" s="15"/>
      <c r="B45" s="25" t="s">
        <v>418</v>
      </c>
      <c r="C45" s="79">
        <v>0</v>
      </c>
      <c r="D45" s="9" t="s">
        <v>1</v>
      </c>
      <c r="E45" s="10" t="e">
        <f>C45*C18</f>
        <v>#N/A</v>
      </c>
      <c r="F45" s="73"/>
      <c r="G45" s="65"/>
      <c r="H45" s="65"/>
      <c r="I45" s="61"/>
      <c r="J45" s="67"/>
    </row>
    <row r="46" spans="1:10">
      <c r="A46" s="15"/>
      <c r="B46" s="25" t="s">
        <v>419</v>
      </c>
      <c r="C46" s="79">
        <v>0</v>
      </c>
      <c r="D46" s="9" t="s">
        <v>1</v>
      </c>
      <c r="E46" s="10" t="e">
        <f>ROUNDUP(C46/10,0)*C16</f>
        <v>#N/A</v>
      </c>
      <c r="F46" s="75"/>
      <c r="G46" s="70"/>
      <c r="H46" s="70"/>
      <c r="I46" s="67"/>
      <c r="J46" s="67"/>
    </row>
    <row r="47" spans="1:10">
      <c r="A47" s="15"/>
      <c r="B47" s="25" t="s">
        <v>420</v>
      </c>
      <c r="C47" s="79">
        <v>0</v>
      </c>
      <c r="D47" s="9" t="s">
        <v>1</v>
      </c>
      <c r="E47" s="10" t="e">
        <f>ROUNDUP(C47/10,0)*C17</f>
        <v>#N/A</v>
      </c>
      <c r="F47" s="75"/>
      <c r="G47" s="70"/>
      <c r="H47" s="70"/>
      <c r="I47" s="67"/>
      <c r="J47" s="67"/>
    </row>
    <row r="48" spans="1:10">
      <c r="A48" s="15"/>
      <c r="B48" s="25" t="s">
        <v>421</v>
      </c>
      <c r="C48" s="79">
        <v>0</v>
      </c>
      <c r="D48" s="9" t="s">
        <v>1</v>
      </c>
      <c r="E48" s="10" t="e">
        <f>ROUNDUP(C48/10,0)*C18</f>
        <v>#N/A</v>
      </c>
      <c r="F48" s="71"/>
    </row>
    <row r="49" spans="1:8" ht="9.9499999999999993" customHeight="1">
      <c r="A49" s="15"/>
      <c r="B49" s="3"/>
      <c r="C49" s="3"/>
      <c r="D49" s="11"/>
      <c r="E49" s="10"/>
      <c r="F49" s="71"/>
    </row>
    <row r="50" spans="1:8" ht="14.25" customHeight="1">
      <c r="A50" s="15"/>
      <c r="B50" s="315" t="s">
        <v>422</v>
      </c>
      <c r="C50" s="79">
        <v>0</v>
      </c>
      <c r="D50" s="9" t="s">
        <v>1</v>
      </c>
      <c r="E50" s="10" t="e">
        <f>C50*C19</f>
        <v>#N/A</v>
      </c>
      <c r="F50"/>
      <c r="G50"/>
      <c r="H50"/>
    </row>
    <row r="51" spans="1:8">
      <c r="A51" s="15"/>
      <c r="B51" s="316"/>
      <c r="C51" s="115"/>
      <c r="D51" s="9"/>
      <c r="E51" s="10"/>
      <c r="F51"/>
      <c r="G51"/>
      <c r="H51"/>
    </row>
    <row r="52" spans="1:8" s="5" customFormat="1">
      <c r="A52" s="29"/>
      <c r="B52" s="170" t="s">
        <v>423</v>
      </c>
      <c r="C52" s="13"/>
      <c r="D52" s="12" t="s">
        <v>1</v>
      </c>
      <c r="E52" s="14" t="e">
        <f>SUM(E43:E51)</f>
        <v>#N/A</v>
      </c>
      <c r="F52" s="64"/>
      <c r="G52" s="64"/>
      <c r="H52" s="64"/>
    </row>
    <row r="53" spans="1:8" ht="9.9499999999999993" customHeight="1">
      <c r="A53" s="15"/>
      <c r="B53" s="3"/>
      <c r="C53" s="3"/>
      <c r="D53" s="11"/>
      <c r="E53" s="10"/>
    </row>
    <row r="54" spans="1:8" ht="15" thickBot="1">
      <c r="A54" s="32"/>
      <c r="B54" s="171" t="s">
        <v>424</v>
      </c>
      <c r="C54" s="116"/>
      <c r="D54" s="83" t="s">
        <v>1</v>
      </c>
      <c r="E54" s="84">
        <v>0</v>
      </c>
    </row>
    <row r="55" spans="1:8" ht="21.6" customHeight="1" thickTop="1">
      <c r="A55" s="31"/>
      <c r="B55" s="172" t="s">
        <v>425</v>
      </c>
      <c r="C55" s="81"/>
      <c r="D55" s="82" t="s">
        <v>1</v>
      </c>
      <c r="E55" s="80" t="e">
        <f>E41+E52+E54</f>
        <v>#N/A</v>
      </c>
      <c r="G55" s="66"/>
      <c r="H55" s="66"/>
    </row>
    <row r="58" spans="1:8">
      <c r="D58" s="62"/>
      <c r="E58" s="62"/>
      <c r="G58"/>
      <c r="H58"/>
    </row>
    <row r="59" spans="1:8">
      <c r="C59" s="104"/>
      <c r="D59" s="62"/>
      <c r="E59" s="62"/>
      <c r="G59"/>
      <c r="H59"/>
    </row>
    <row r="60" spans="1:8">
      <c r="D60" s="62"/>
      <c r="E60" s="62"/>
      <c r="G60"/>
      <c r="H60"/>
    </row>
    <row r="61" spans="1:8">
      <c r="D61" s="62"/>
      <c r="E61" s="62"/>
      <c r="G61"/>
      <c r="H61"/>
    </row>
    <row r="62" spans="1:8">
      <c r="D62" s="62"/>
      <c r="E62" s="62"/>
      <c r="G62"/>
      <c r="H62"/>
    </row>
  </sheetData>
  <sheetProtection algorithmName="SHA-512" hashValue="OZNwC2/hBa2MGppeq+O1Ew0wC9ZLpPDGj/dXe4mDBYt46PXK3qFiEOWUBVnrUkHsY89wyzUOhx7lgfAU20bF9A==" saltValue="SLRdDmZNebnBLFN4OswMKw==" spinCount="100000" sheet="1" selectLockedCells="1"/>
  <customSheetViews>
    <customSheetView guid="{DE5B7886-4BB5-4BFA-B6B7-1534718A9F64}" scale="80" showPageBreaks="1" fitToPage="1" printArea="1" view="pageBreakPreview">
      <selection activeCell="B5" sqref="B5:C5"/>
      <pageMargins left="0.70866141732283472" right="0.70866141732283472" top="0.78740157480314965" bottom="0.51181102362204722" header="0.31496062992125984" footer="0.31496062992125984"/>
      <pageSetup paperSize="9" scale="93" orientation="portrait" horizontalDpi="300" verticalDpi="300" r:id="rId1"/>
      <headerFooter>
        <oddHeader>&amp;L&amp;G</oddHeader>
        <oddFooter>&amp;L&amp;8&amp;F&amp;R&amp;8&amp;D</oddFooter>
      </headerFooter>
    </customSheetView>
  </customSheetViews>
  <mergeCells count="12">
    <mergeCell ref="B50:B51"/>
    <mergeCell ref="G33:G34"/>
    <mergeCell ref="H33:H34"/>
    <mergeCell ref="F33:F34"/>
    <mergeCell ref="F32:H32"/>
    <mergeCell ref="F3:G5"/>
    <mergeCell ref="A1:E1"/>
    <mergeCell ref="C3:E3"/>
    <mergeCell ref="C4:E4"/>
    <mergeCell ref="C5:E5"/>
    <mergeCell ref="B2:E2"/>
    <mergeCell ref="A5:B5"/>
  </mergeCells>
  <pageMargins left="0.70866141732283472" right="0.70866141732283472" top="0.78740157480314965" bottom="0.51181102362204722" header="0.31496062992125984" footer="0.31496062992125984"/>
  <pageSetup paperSize="9" scale="95" orientation="portrait" horizontalDpi="300" verticalDpi="300" r:id="rId2"/>
  <headerFooter scaleWithDoc="0">
    <oddHeader>&amp;L&amp;G</oddHeader>
    <oddFooter xml:space="preserve">&amp;L&amp;8&amp;F
VO 01.02.2023&amp;R&amp;8&amp;D 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DED310-DF6B-4A89-AE52-308078DB0C80}">
          <x14:formula1>
            <xm:f>Nachhaltigkeisstandards!$A$15:$A$25</xm:f>
          </x14:formula1>
          <xm:sqref>B39</xm:sqref>
        </x14:dataValidation>
        <x14:dataValidation type="list" allowBlank="1" showInputMessage="1" showErrorMessage="1" xr:uid="{3B64C159-3414-4989-B37C-D498B7032BF8}">
          <x14:formula1>
            <xm:f>'Hindernisfreie Bauten'!$A$9:$A$14</xm:f>
          </x14:formula1>
          <xm:sqref>B40</xm:sqref>
        </x14:dataValidation>
        <x14:dataValidation type="list" showInputMessage="1" xr:uid="{00000000-0002-0000-0000-000001000000}">
          <x14:formula1>
            <xm:f>_xlfn.ANCHORARRAY('Kostenstufen 2025'!G2)</xm:f>
          </x14:formula1>
          <xm:sqref>C5:E5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49EC-73D0-4748-BACB-86D6C69B7201}">
  <sheetPr>
    <pageSetUpPr fitToPage="1"/>
  </sheetPr>
  <dimension ref="A1:J57"/>
  <sheetViews>
    <sheetView zoomScaleNormal="100" zoomScaleSheetLayoutView="120" workbookViewId="0">
      <selection activeCell="B37" sqref="B37"/>
    </sheetView>
  </sheetViews>
  <sheetFormatPr baseColWidth="10" defaultColWidth="10.5" defaultRowHeight="14.25"/>
  <cols>
    <col min="1" max="1" width="3.5" customWidth="1"/>
    <col min="2" max="2" width="48.625" customWidth="1"/>
    <col min="3" max="3" width="9.75" customWidth="1"/>
    <col min="4" max="4" width="7.625" bestFit="1" customWidth="1"/>
    <col min="5" max="5" width="15.5" bestFit="1" customWidth="1"/>
    <col min="6" max="8" width="15.625" style="62" customWidth="1"/>
  </cols>
  <sheetData>
    <row r="1" spans="1:7" ht="24.95" customHeight="1">
      <c r="A1" s="305" t="s">
        <v>428</v>
      </c>
      <c r="B1" s="305"/>
      <c r="C1" s="305"/>
      <c r="D1" s="305"/>
      <c r="E1" s="305"/>
    </row>
    <row r="2" spans="1:7" ht="3" customHeight="1">
      <c r="B2" s="312"/>
      <c r="C2" s="312"/>
      <c r="D2" s="312"/>
      <c r="E2" s="312"/>
    </row>
    <row r="3" spans="1:7" ht="14.25" customHeight="1">
      <c r="A3" s="162" t="s">
        <v>392</v>
      </c>
      <c r="B3" s="115"/>
      <c r="C3" s="306"/>
      <c r="D3" s="306"/>
      <c r="E3" s="307"/>
      <c r="F3" s="303" t="s">
        <v>427</v>
      </c>
      <c r="G3" s="304"/>
    </row>
    <row r="4" spans="1:7">
      <c r="A4" s="163" t="s">
        <v>393</v>
      </c>
      <c r="B4" s="3"/>
      <c r="C4" s="308"/>
      <c r="D4" s="308"/>
      <c r="E4" s="309"/>
      <c r="F4" s="303"/>
      <c r="G4" s="304"/>
    </row>
    <row r="5" spans="1:7" ht="24.95" customHeight="1">
      <c r="A5" s="313" t="s">
        <v>394</v>
      </c>
      <c r="B5" s="314"/>
      <c r="C5" s="310"/>
      <c r="D5" s="310"/>
      <c r="E5" s="311"/>
      <c r="F5" s="303"/>
      <c r="G5" s="304"/>
    </row>
    <row r="6" spans="1:7" ht="20.100000000000001" customHeight="1">
      <c r="B6" s="25" t="s">
        <v>395</v>
      </c>
      <c r="C6" s="4" t="e">
        <f>VLOOKUP(C5,'Kostenstufen 2025'!A2:E355,4,FALSE)</f>
        <v>#N/A</v>
      </c>
      <c r="D6" s="3"/>
      <c r="E6" s="173"/>
    </row>
    <row r="7" spans="1:7" ht="20.100000000000001" customHeight="1">
      <c r="B7" s="174" t="s">
        <v>429</v>
      </c>
      <c r="C7" s="176">
        <v>0.15</v>
      </c>
      <c r="D7" s="3"/>
    </row>
    <row r="8" spans="1:7">
      <c r="B8" s="164" t="s">
        <v>396</v>
      </c>
      <c r="C8" s="142" t="s">
        <v>387</v>
      </c>
      <c r="D8" s="3"/>
    </row>
    <row r="9" spans="1:7">
      <c r="B9" s="164" t="s">
        <v>397</v>
      </c>
      <c r="C9" s="2" t="e">
        <f>ROUNDUP(((VLOOKUP($C$6,'AKL 2025'!$K$11:$U$17,3,FALSE))*(1+$C$7)*2),-4)/2</f>
        <v>#N/A</v>
      </c>
      <c r="D9" s="3"/>
      <c r="E9" s="3"/>
    </row>
    <row r="10" spans="1:7">
      <c r="B10" s="164" t="s">
        <v>398</v>
      </c>
      <c r="C10" s="2" t="e">
        <f>ROUNDUP(((VLOOKUP($C$6,'AKL 2025'!$K$11:$U$17,4,FALSE))*(1+$C$7)*2),-4)/2</f>
        <v>#N/A</v>
      </c>
      <c r="D10" s="3"/>
      <c r="E10" s="3"/>
    </row>
    <row r="11" spans="1:7">
      <c r="B11" s="164" t="s">
        <v>399</v>
      </c>
      <c r="C11" s="2" t="e">
        <f>ROUNDUP(((VLOOKUP($C$6,'AKL 2025'!$K$11:$U$17,5,FALSE))*(1+$C$7)*2),-4)/2</f>
        <v>#N/A</v>
      </c>
      <c r="D11" s="3"/>
      <c r="E11" s="3"/>
    </row>
    <row r="12" spans="1:7">
      <c r="B12" s="164" t="s">
        <v>400</v>
      </c>
      <c r="C12" s="2" t="e">
        <f>ROUNDUP(((VLOOKUP($C$6,'AKL 2025'!$K$11:$U$17,6,FALSE))*(1+$C$7)*2),-4)/2</f>
        <v>#N/A</v>
      </c>
      <c r="D12" s="3"/>
      <c r="E12" s="3"/>
    </row>
    <row r="13" spans="1:7">
      <c r="B13" s="164" t="s">
        <v>401</v>
      </c>
      <c r="C13" s="2" t="e">
        <f>ROUNDUP(((VLOOKUP($C$6,'AKL 2025'!$K$11:$U$17,7,FALSE))*(1+$C$7)*2),-4)/2</f>
        <v>#N/A</v>
      </c>
      <c r="D13" s="3"/>
      <c r="E13" s="3"/>
    </row>
    <row r="14" spans="1:7">
      <c r="B14" s="164" t="s">
        <v>402</v>
      </c>
      <c r="C14" s="2" t="e">
        <f>ROUNDUP(((VLOOKUP($C$6,'AKL 2025'!$K$11:$U$17,8,FALSE))*(1+$C$7)*2),-4)/2</f>
        <v>#N/A</v>
      </c>
      <c r="D14" s="3"/>
      <c r="E14" s="3"/>
    </row>
    <row r="15" spans="1:7" ht="9.9499999999999993" customHeight="1">
      <c r="B15" s="165"/>
      <c r="C15" s="2"/>
      <c r="D15" s="3"/>
      <c r="E15" s="3"/>
    </row>
    <row r="16" spans="1:7">
      <c r="B16" s="26" t="s">
        <v>403</v>
      </c>
      <c r="C16" s="2" t="e">
        <f>ROUNDUP((VLOOKUP($C$6,'AKL 2025'!$K$3:$Y$9,12,FALSE))*(1+$C$7),-3)</f>
        <v>#N/A</v>
      </c>
      <c r="D16" s="3"/>
      <c r="E16" s="3"/>
    </row>
    <row r="17" spans="1:10">
      <c r="B17" s="26" t="s">
        <v>404</v>
      </c>
      <c r="C17" s="2" t="e">
        <f>ROUNDUP((VLOOKUP($C$6,'AKL 2025'!$K$3:$Y$9,13,FALSE))*(1+$C$7),-3)</f>
        <v>#N/A</v>
      </c>
      <c r="D17" s="3"/>
    </row>
    <row r="18" spans="1:10">
      <c r="B18" s="26" t="s">
        <v>405</v>
      </c>
      <c r="C18" s="2" t="e">
        <f>ROUNDUP((VLOOKUP($C$6,'AKL 2025'!$K$3:$Y$9,14,FALSE))*(1+$C$7),-3)</f>
        <v>#N/A</v>
      </c>
      <c r="D18" s="3"/>
      <c r="E18" s="3"/>
    </row>
    <row r="19" spans="1:10">
      <c r="B19" s="26" t="s">
        <v>406</v>
      </c>
      <c r="C19" s="2" t="e">
        <f>ROUNDUP((VLOOKUP($C$6,'AKL 2025'!$K$3:$Y$9,15,FALSE))*(1+$C$7),-3)</f>
        <v>#N/A</v>
      </c>
      <c r="D19" s="3"/>
    </row>
    <row r="20" spans="1:10" ht="20.100000000000001" customHeight="1">
      <c r="B20" s="26"/>
      <c r="C20" s="106"/>
      <c r="D20" s="3"/>
      <c r="E20" s="23"/>
    </row>
    <row r="21" spans="1:10" s="6" customFormat="1" ht="15">
      <c r="A21" s="27"/>
      <c r="B21" s="166" t="s">
        <v>407</v>
      </c>
      <c r="C21" s="166" t="s">
        <v>426</v>
      </c>
      <c r="D21" s="19"/>
      <c r="E21" s="20"/>
      <c r="F21" s="63"/>
      <c r="G21" s="63"/>
      <c r="H21" s="63"/>
    </row>
    <row r="22" spans="1:10" ht="9.9499999999999993" customHeight="1">
      <c r="A22" s="15"/>
      <c r="B22" s="3"/>
      <c r="C22" s="3"/>
      <c r="D22" s="4"/>
      <c r="E22" s="8"/>
    </row>
    <row r="23" spans="1:10">
      <c r="A23" s="33" t="s">
        <v>25</v>
      </c>
      <c r="B23" s="167" t="s">
        <v>408</v>
      </c>
      <c r="C23" s="3"/>
      <c r="D23" s="9"/>
      <c r="E23" s="10"/>
    </row>
    <row r="24" spans="1:10">
      <c r="A24" s="33" t="s">
        <v>31</v>
      </c>
      <c r="B24" s="167" t="s">
        <v>409</v>
      </c>
      <c r="C24" s="79">
        <v>0</v>
      </c>
      <c r="D24" s="9" t="s">
        <v>1</v>
      </c>
      <c r="E24" s="10" t="e">
        <f>C24*C9</f>
        <v>#N/A</v>
      </c>
    </row>
    <row r="25" spans="1:10">
      <c r="A25" s="33" t="s">
        <v>26</v>
      </c>
      <c r="B25" s="167" t="s">
        <v>409</v>
      </c>
      <c r="C25" s="79">
        <v>0</v>
      </c>
      <c r="D25" s="9" t="s">
        <v>1</v>
      </c>
      <c r="E25" s="10" t="e">
        <f t="shared" ref="E25:E29" si="0">C25*C10</f>
        <v>#N/A</v>
      </c>
    </row>
    <row r="26" spans="1:10">
      <c r="A26" s="33" t="s">
        <v>27</v>
      </c>
      <c r="B26" s="167" t="s">
        <v>409</v>
      </c>
      <c r="C26" s="79">
        <v>0</v>
      </c>
      <c r="D26" s="9" t="s">
        <v>1</v>
      </c>
      <c r="E26" s="10" t="e">
        <f t="shared" si="0"/>
        <v>#N/A</v>
      </c>
    </row>
    <row r="27" spans="1:10">
      <c r="A27" s="33" t="s">
        <v>28</v>
      </c>
      <c r="B27" s="167" t="s">
        <v>409</v>
      </c>
      <c r="C27" s="79">
        <v>0</v>
      </c>
      <c r="D27" s="9" t="s">
        <v>1</v>
      </c>
      <c r="E27" s="10" t="e">
        <f t="shared" si="0"/>
        <v>#N/A</v>
      </c>
    </row>
    <row r="28" spans="1:10">
      <c r="A28" s="33" t="s">
        <v>29</v>
      </c>
      <c r="B28" s="167" t="s">
        <v>409</v>
      </c>
      <c r="C28" s="79">
        <v>0</v>
      </c>
      <c r="D28" s="9" t="s">
        <v>1</v>
      </c>
      <c r="E28" s="10" t="e">
        <f t="shared" si="0"/>
        <v>#N/A</v>
      </c>
    </row>
    <row r="29" spans="1:10">
      <c r="A29" s="33" t="s">
        <v>30</v>
      </c>
      <c r="B29" s="167" t="s">
        <v>409</v>
      </c>
      <c r="C29" s="79">
        <v>0</v>
      </c>
      <c r="D29" s="9" t="s">
        <v>1</v>
      </c>
      <c r="E29" s="10" t="e">
        <f t="shared" si="0"/>
        <v>#N/A</v>
      </c>
    </row>
    <row r="30" spans="1:10">
      <c r="A30" s="108"/>
      <c r="B30" s="167" t="s">
        <v>410</v>
      </c>
      <c r="C30" s="79">
        <v>0</v>
      </c>
      <c r="D30" s="9" t="s">
        <v>1</v>
      </c>
      <c r="E30" s="10" t="e">
        <f>C30*(VLOOKUP($C$6,'AKL 2025'!$K$10:$U$17,9,FALSE))*(1+C7)</f>
        <v>#N/A</v>
      </c>
      <c r="F30" s="64"/>
      <c r="G30" s="64"/>
      <c r="H30" s="64"/>
      <c r="I30" s="5"/>
    </row>
    <row r="31" spans="1:10">
      <c r="A31" s="108"/>
      <c r="B31" s="167" t="s">
        <v>410</v>
      </c>
      <c r="C31" s="79">
        <v>0</v>
      </c>
      <c r="D31" s="9" t="s">
        <v>1</v>
      </c>
      <c r="E31" s="10" t="e">
        <f>C31*(VLOOKUP($C$6,'AKL 2025'!$K$10:$U$17,10,FALSE))*(1+C7)</f>
        <v>#N/A</v>
      </c>
      <c r="F31" s="65"/>
      <c r="G31" s="65"/>
      <c r="H31" s="65"/>
      <c r="I31" s="61"/>
      <c r="J31" s="67"/>
    </row>
    <row r="32" spans="1:10">
      <c r="A32" s="108"/>
      <c r="B32" s="167" t="s">
        <v>410</v>
      </c>
      <c r="C32" s="79">
        <v>0</v>
      </c>
      <c r="D32" s="9" t="s">
        <v>1</v>
      </c>
      <c r="E32" s="10" t="e">
        <f>C32*(VLOOKUP($C$6,'AKL 2025'!$K$10:$U$17,11,FALSE))*(1+C7)</f>
        <v>#N/A</v>
      </c>
      <c r="F32" s="320"/>
      <c r="G32" s="320"/>
      <c r="H32" s="320"/>
      <c r="I32" s="61"/>
      <c r="J32" s="67"/>
    </row>
    <row r="33" spans="1:10" s="5" customFormat="1" ht="14.25" customHeight="1">
      <c r="A33" s="29"/>
      <c r="B33" s="168" t="s">
        <v>411</v>
      </c>
      <c r="C33" s="18">
        <f>SUM(C23:C32)</f>
        <v>0</v>
      </c>
      <c r="D33" s="109"/>
      <c r="E33" s="110"/>
      <c r="F33" s="175"/>
      <c r="G33" s="175"/>
      <c r="H33" s="175"/>
      <c r="I33" s="61"/>
      <c r="J33" s="61"/>
    </row>
    <row r="34" spans="1:10">
      <c r="A34" s="15"/>
      <c r="B34" s="169" t="s">
        <v>414</v>
      </c>
      <c r="C34" s="7"/>
      <c r="D34" s="12" t="s">
        <v>1</v>
      </c>
      <c r="E34" s="111" t="e">
        <f>SUM(E24:E32)</f>
        <v>#N/A</v>
      </c>
      <c r="F34" s="65"/>
      <c r="G34" s="65"/>
      <c r="H34" s="65"/>
      <c r="I34" s="61"/>
      <c r="J34" s="67"/>
    </row>
    <row r="35" spans="1:10" ht="9.9499999999999993" customHeight="1">
      <c r="A35" s="15"/>
      <c r="B35" s="3"/>
      <c r="C35" s="3"/>
      <c r="D35" s="11"/>
      <c r="E35" s="10"/>
      <c r="F35" s="65"/>
      <c r="G35" s="65"/>
      <c r="H35" s="65"/>
      <c r="I35" s="61"/>
      <c r="J35" s="67"/>
    </row>
    <row r="36" spans="1:10" s="1" customFormat="1" ht="15.75">
      <c r="A36" s="30"/>
      <c r="B36" s="107" t="s">
        <v>503</v>
      </c>
      <c r="C36" s="105" t="s">
        <v>83</v>
      </c>
      <c r="D36" s="112">
        <f>VLOOKUP(B36,Nachhaltigkeisstandards!A17:C29,2,FALSE)</f>
        <v>0</v>
      </c>
      <c r="E36" s="113" t="e">
        <f>ROUND(SUM($E$24:$E$32)*D36/2,-3)*2</f>
        <v>#N/A</v>
      </c>
      <c r="F36" s="284">
        <f>MIN(SUM(D36:D37),"10%")</f>
        <v>0</v>
      </c>
      <c r="G36" s="65"/>
      <c r="H36" s="65"/>
      <c r="I36" s="68"/>
      <c r="J36" s="69"/>
    </row>
    <row r="37" spans="1:10">
      <c r="A37" s="15"/>
      <c r="B37" s="107" t="s">
        <v>70</v>
      </c>
      <c r="C37" s="105" t="s">
        <v>83</v>
      </c>
      <c r="D37" s="112">
        <f>VLOOKUP(B37,'Hindernisfreie Bauten'!A9:B14,2,FALSE)</f>
        <v>0</v>
      </c>
      <c r="E37" s="113" t="e">
        <f>ROUND(SUM($E$24:$E$32)*D37/2,-3)*2</f>
        <v>#N/A</v>
      </c>
      <c r="F37" s="65"/>
      <c r="G37" s="65"/>
      <c r="H37" s="65"/>
      <c r="I37" s="61"/>
      <c r="J37" s="67"/>
    </row>
    <row r="38" spans="1:10" s="5" customFormat="1">
      <c r="A38" s="29"/>
      <c r="B38" s="296" t="s">
        <v>518</v>
      </c>
      <c r="C38" s="13"/>
      <c r="D38" s="114" t="s">
        <v>1</v>
      </c>
      <c r="E38" s="14" t="e">
        <f>E34+ROUND((SUM($E$24:$E$32))*$F$36,-4)</f>
        <v>#N/A</v>
      </c>
      <c r="F38" s="65"/>
      <c r="G38" s="65"/>
      <c r="H38" s="65"/>
      <c r="I38" s="61"/>
      <c r="J38" s="61"/>
    </row>
    <row r="39" spans="1:10" ht="9.9499999999999993" customHeight="1">
      <c r="A39" s="15"/>
      <c r="B39" s="3"/>
      <c r="C39" s="3"/>
      <c r="D39" s="11"/>
      <c r="E39" s="10"/>
      <c r="F39" s="65"/>
      <c r="G39" s="65"/>
      <c r="H39" s="65"/>
      <c r="I39" s="61"/>
      <c r="J39" s="67"/>
    </row>
    <row r="40" spans="1:10">
      <c r="A40" s="15"/>
      <c r="B40" s="25" t="s">
        <v>416</v>
      </c>
      <c r="C40" s="79">
        <v>0</v>
      </c>
      <c r="D40" s="9" t="s">
        <v>1</v>
      </c>
      <c r="E40" s="10" t="e">
        <f>C40*C16</f>
        <v>#N/A</v>
      </c>
      <c r="F40" s="65"/>
      <c r="G40" s="65"/>
      <c r="H40" s="65"/>
      <c r="I40" s="61"/>
      <c r="J40" s="67"/>
    </row>
    <row r="41" spans="1:10">
      <c r="A41" s="15"/>
      <c r="B41" s="25" t="s">
        <v>417</v>
      </c>
      <c r="C41" s="79">
        <v>0</v>
      </c>
      <c r="D41" s="9" t="s">
        <v>1</v>
      </c>
      <c r="E41" s="10" t="e">
        <f>C41*C17</f>
        <v>#N/A</v>
      </c>
      <c r="F41" s="65"/>
      <c r="G41" s="65"/>
      <c r="H41" s="65"/>
      <c r="I41" s="61"/>
      <c r="J41" s="67"/>
    </row>
    <row r="42" spans="1:10">
      <c r="A42" s="15"/>
      <c r="B42" s="25" t="s">
        <v>418</v>
      </c>
      <c r="C42" s="79">
        <v>0</v>
      </c>
      <c r="D42" s="9" t="s">
        <v>1</v>
      </c>
      <c r="E42" s="10" t="e">
        <f>C42*C18</f>
        <v>#N/A</v>
      </c>
      <c r="F42" s="65"/>
      <c r="G42" s="65"/>
      <c r="H42" s="65"/>
      <c r="I42" s="61"/>
      <c r="J42" s="67"/>
    </row>
    <row r="43" spans="1:10">
      <c r="A43" s="15"/>
      <c r="B43" s="25" t="s">
        <v>419</v>
      </c>
      <c r="C43" s="79">
        <v>0</v>
      </c>
      <c r="D43" s="9" t="s">
        <v>1</v>
      </c>
      <c r="E43" s="10" t="e">
        <f>ROUNDUP(C43/10,0)*C16</f>
        <v>#N/A</v>
      </c>
      <c r="F43" s="70"/>
      <c r="G43" s="70"/>
      <c r="H43" s="70"/>
      <c r="I43" s="67"/>
      <c r="J43" s="67"/>
    </row>
    <row r="44" spans="1:10">
      <c r="A44" s="15"/>
      <c r="B44" s="25" t="s">
        <v>420</v>
      </c>
      <c r="C44" s="79">
        <v>0</v>
      </c>
      <c r="D44" s="9" t="s">
        <v>1</v>
      </c>
      <c r="E44" s="10" t="e">
        <f>ROUNDUP(C44/10,0)*C17</f>
        <v>#N/A</v>
      </c>
      <c r="F44" s="70"/>
      <c r="G44" s="70"/>
      <c r="H44" s="70"/>
      <c r="I44" s="67"/>
      <c r="J44" s="67"/>
    </row>
    <row r="45" spans="1:10">
      <c r="A45" s="15"/>
      <c r="B45" s="25" t="s">
        <v>421</v>
      </c>
      <c r="C45" s="79">
        <v>0</v>
      </c>
      <c r="D45" s="9" t="s">
        <v>1</v>
      </c>
      <c r="E45" s="10" t="e">
        <f>ROUNDUP(C45/10,0)*C18</f>
        <v>#N/A</v>
      </c>
    </row>
    <row r="46" spans="1:10" ht="9.9499999999999993" customHeight="1">
      <c r="A46" s="15"/>
      <c r="B46" s="3"/>
      <c r="C46" s="3"/>
      <c r="D46" s="11"/>
      <c r="E46" s="10"/>
    </row>
    <row r="47" spans="1:10" ht="14.25" customHeight="1">
      <c r="A47" s="15"/>
      <c r="B47" s="315" t="s">
        <v>422</v>
      </c>
      <c r="C47" s="79">
        <v>0</v>
      </c>
      <c r="D47" s="9" t="s">
        <v>1</v>
      </c>
      <c r="E47" s="10" t="e">
        <f>C47*C19</f>
        <v>#N/A</v>
      </c>
      <c r="F47"/>
      <c r="G47"/>
      <c r="H47"/>
    </row>
    <row r="48" spans="1:10">
      <c r="A48" s="15"/>
      <c r="B48" s="316"/>
      <c r="C48" s="115"/>
      <c r="D48" s="9"/>
      <c r="E48" s="10"/>
      <c r="F48"/>
      <c r="G48"/>
      <c r="H48"/>
    </row>
    <row r="49" spans="1:8" s="5" customFormat="1" ht="15" thickBot="1">
      <c r="A49" s="29"/>
      <c r="B49" s="170" t="s">
        <v>423</v>
      </c>
      <c r="C49" s="13"/>
      <c r="D49" s="12" t="s">
        <v>1</v>
      </c>
      <c r="E49" s="14" t="e">
        <f>SUM(E40:E48)</f>
        <v>#N/A</v>
      </c>
      <c r="F49" s="64"/>
      <c r="G49" s="64"/>
      <c r="H49" s="64"/>
    </row>
    <row r="50" spans="1:8" ht="21.6" customHeight="1" thickTop="1">
      <c r="A50" s="158"/>
      <c r="B50" s="172" t="s">
        <v>425</v>
      </c>
      <c r="C50" s="159"/>
      <c r="D50" s="160" t="s">
        <v>1</v>
      </c>
      <c r="E50" s="161" t="e">
        <f>E38+E49</f>
        <v>#N/A</v>
      </c>
      <c r="G50" s="66"/>
      <c r="H50" s="66"/>
    </row>
    <row r="53" spans="1:8">
      <c r="D53" s="62"/>
      <c r="E53" s="62"/>
      <c r="G53"/>
      <c r="H53"/>
    </row>
    <row r="54" spans="1:8">
      <c r="C54" s="104"/>
      <c r="D54" s="62"/>
      <c r="E54" s="62"/>
      <c r="G54"/>
      <c r="H54"/>
    </row>
    <row r="55" spans="1:8">
      <c r="D55" s="62"/>
      <c r="E55" s="62"/>
      <c r="G55"/>
      <c r="H55"/>
    </row>
    <row r="56" spans="1:8">
      <c r="D56" s="62"/>
      <c r="E56" s="62"/>
      <c r="G56"/>
      <c r="H56"/>
    </row>
    <row r="57" spans="1:8">
      <c r="D57" s="62"/>
      <c r="E57" s="62"/>
      <c r="G57"/>
      <c r="H57"/>
    </row>
  </sheetData>
  <sheetProtection algorithmName="SHA-512" hashValue="wotJxLheblba5/FeNOmbZy8HYf5DJ/Ia4FYczW3t+fXjOuWsDapYnA58nVYF3J1UxMXqjD4FGyk9ZgCWBfmr1Q==" saltValue="btlFOwrSQYjpIBrFkISyKQ==" spinCount="100000" sheet="1" selectLockedCells="1"/>
  <mergeCells count="9">
    <mergeCell ref="F32:H32"/>
    <mergeCell ref="B47:B48"/>
    <mergeCell ref="F3:G5"/>
    <mergeCell ref="A1:E1"/>
    <mergeCell ref="B2:E2"/>
    <mergeCell ref="C3:E3"/>
    <mergeCell ref="C4:E4"/>
    <mergeCell ref="A5:B5"/>
    <mergeCell ref="C5:E5"/>
  </mergeCells>
  <pageMargins left="0.70866141732283472" right="0.70866141732283472" top="0.78740157480314965" bottom="0.51181102362204722" header="0.31496062992125984" footer="0.31496062992125984"/>
  <pageSetup paperSize="9" scale="95" orientation="portrait" horizontalDpi="300" verticalDpi="300" r:id="rId1"/>
  <headerFooter scaleWithDoc="0">
    <oddHeader>&amp;L&amp;G</oddHeader>
    <oddFooter xml:space="preserve">&amp;L&amp;8&amp;F
VO 01.02.2023&amp;R&amp;8&amp;D 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xr:uid="{AA279F41-C488-4267-AF1C-F927B6EB286D}">
          <x14:formula1>
            <xm:f>_xlfn.ANCHORARRAY('Kostenstufen 2025'!#REF!)</xm:f>
          </x14:formula1>
          <xm:sqref>E5</xm:sqref>
        </x14:dataValidation>
        <x14:dataValidation type="list" allowBlank="1" showInputMessage="1" showErrorMessage="1" xr:uid="{E4DB6A8E-B5E3-4C7B-B912-B90C3F1E34D1}">
          <x14:formula1>
            <xm:f>Nachhaltigkeisstandards!$A$17:$A$29</xm:f>
          </x14:formula1>
          <xm:sqref>B36</xm:sqref>
        </x14:dataValidation>
        <x14:dataValidation type="list" allowBlank="1" showInputMessage="1" showErrorMessage="1" xr:uid="{5DCC67F2-CD70-457B-BCDF-960A77B7689C}">
          <x14:formula1>
            <xm:f>'Hindernisfreie Bauten'!$A$9:$A$14</xm:f>
          </x14:formula1>
          <xm:sqref>B37</xm:sqref>
        </x14:dataValidation>
        <x14:dataValidation type="list" showInputMessage="1" xr:uid="{C398990D-E737-4866-BE0E-27B41A2D5317}">
          <x14:formula1>
            <xm:f>_xlfn.ANCHORARRAY('Kostenstufen 2025'!H2)</xm:f>
          </x14:formula1>
          <xm:sqref>C5:D5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5842-D4BF-4485-A5AC-E2726D4F9C64}">
  <sheetPr>
    <pageSetUpPr fitToPage="1"/>
  </sheetPr>
  <dimension ref="A1:J57"/>
  <sheetViews>
    <sheetView zoomScaleNormal="100" zoomScaleSheetLayoutView="120" workbookViewId="0">
      <selection activeCell="C5" sqref="C5:E5"/>
    </sheetView>
  </sheetViews>
  <sheetFormatPr baseColWidth="10" defaultColWidth="10.5" defaultRowHeight="14.25"/>
  <cols>
    <col min="1" max="1" width="3.5" customWidth="1"/>
    <col min="2" max="2" width="48.625" customWidth="1"/>
    <col min="3" max="3" width="9.75" customWidth="1"/>
    <col min="4" max="4" width="7.625" bestFit="1" customWidth="1"/>
    <col min="5" max="5" width="15.5" bestFit="1" customWidth="1"/>
    <col min="6" max="8" width="15.625" style="62" customWidth="1"/>
  </cols>
  <sheetData>
    <row r="1" spans="1:7" ht="24.95" customHeight="1">
      <c r="A1" s="305" t="s">
        <v>488</v>
      </c>
      <c r="B1" s="305"/>
      <c r="C1" s="305"/>
      <c r="D1" s="305"/>
      <c r="E1" s="305"/>
    </row>
    <row r="2" spans="1:7" ht="3" customHeight="1">
      <c r="B2" s="312"/>
      <c r="C2" s="312"/>
      <c r="D2" s="312"/>
      <c r="E2" s="312"/>
    </row>
    <row r="3" spans="1:7" ht="14.25" customHeight="1">
      <c r="A3" s="162" t="s">
        <v>392</v>
      </c>
      <c r="B3" s="115"/>
      <c r="C3" s="306"/>
      <c r="D3" s="306"/>
      <c r="E3" s="307"/>
      <c r="F3" s="303" t="s">
        <v>427</v>
      </c>
      <c r="G3" s="304"/>
    </row>
    <row r="4" spans="1:7" ht="14.25" customHeight="1">
      <c r="A4" s="163" t="s">
        <v>393</v>
      </c>
      <c r="B4" s="3"/>
      <c r="C4" s="308"/>
      <c r="D4" s="308"/>
      <c r="E4" s="309"/>
      <c r="F4" s="303"/>
      <c r="G4" s="304"/>
    </row>
    <row r="5" spans="1:7" ht="24.95" customHeight="1">
      <c r="A5" s="313" t="s">
        <v>394</v>
      </c>
      <c r="B5" s="314"/>
      <c r="C5" s="310"/>
      <c r="D5" s="310"/>
      <c r="E5" s="311"/>
      <c r="F5" s="303"/>
      <c r="G5" s="304"/>
    </row>
    <row r="6" spans="1:7" ht="20.100000000000001" customHeight="1">
      <c r="B6" s="25" t="s">
        <v>395</v>
      </c>
      <c r="C6" s="4" t="e">
        <f>VLOOKUP(C5,'Kostenstufen 2025'!A2:E355,5,FALSE)</f>
        <v>#N/A</v>
      </c>
      <c r="D6" s="3"/>
    </row>
    <row r="7" spans="1:7" ht="20.100000000000001" customHeight="1">
      <c r="B7" s="174" t="s">
        <v>429</v>
      </c>
      <c r="C7" s="176">
        <v>0.15</v>
      </c>
      <c r="D7" s="3"/>
    </row>
    <row r="8" spans="1:7" ht="14.25" customHeight="1">
      <c r="B8" s="164" t="s">
        <v>396</v>
      </c>
      <c r="C8" s="142" t="s">
        <v>387</v>
      </c>
      <c r="D8" s="3"/>
    </row>
    <row r="9" spans="1:7">
      <c r="B9" s="164" t="s">
        <v>397</v>
      </c>
      <c r="C9" s="142" t="s">
        <v>387</v>
      </c>
      <c r="D9" s="3"/>
      <c r="E9" s="3"/>
    </row>
    <row r="10" spans="1:7">
      <c r="B10" s="164" t="s">
        <v>398</v>
      </c>
      <c r="C10" s="2" t="e">
        <f>ROUNDUP(((VLOOKUP($C$6,'AKL 2025'!$K$19:$U$25,4,FALSE))*(1+$C$7)*2),-4)/2</f>
        <v>#N/A</v>
      </c>
      <c r="D10" s="3"/>
      <c r="E10" s="3"/>
    </row>
    <row r="11" spans="1:7">
      <c r="B11" s="164" t="s">
        <v>399</v>
      </c>
      <c r="C11" s="2" t="e">
        <f>ROUNDUP(((VLOOKUP($C$6,'AKL 2025'!$K$19:$U$25,5,FALSE))*(1+$C$7)*2),-4)/2</f>
        <v>#N/A</v>
      </c>
      <c r="D11" s="3"/>
      <c r="E11" s="3"/>
    </row>
    <row r="12" spans="1:7">
      <c r="B12" s="164" t="s">
        <v>400</v>
      </c>
      <c r="C12" s="2" t="e">
        <f>ROUNDUP(((VLOOKUP($C$6,'AKL 2025'!$K$19:$U$25,6,FALSE))*(1+$C$7)*2),-4)/2</f>
        <v>#N/A</v>
      </c>
      <c r="D12" s="3"/>
      <c r="E12" s="3"/>
    </row>
    <row r="13" spans="1:7">
      <c r="B13" s="164" t="s">
        <v>401</v>
      </c>
      <c r="C13" s="2" t="e">
        <f>ROUNDUP(((VLOOKUP($C$6,'AKL 2025'!$K$19:$U$25,7,FALSE))*(1+$C$7)*2),-4)/2</f>
        <v>#N/A</v>
      </c>
      <c r="D13" s="3"/>
      <c r="E13" s="3"/>
    </row>
    <row r="14" spans="1:7">
      <c r="B14" s="164" t="s">
        <v>402</v>
      </c>
      <c r="C14" s="2" t="e">
        <f>ROUNDUP(((VLOOKUP($C$6,'AKL 2025'!$K$19:$U$25,8,FALSE))*(1+$C$7)*2),-4)/2</f>
        <v>#N/A</v>
      </c>
      <c r="D14" s="3"/>
      <c r="E14" s="3"/>
    </row>
    <row r="15" spans="1:7" ht="9.9499999999999993" customHeight="1">
      <c r="B15" s="165"/>
      <c r="C15" s="2"/>
      <c r="D15" s="3"/>
      <c r="E15" s="3"/>
    </row>
    <row r="16" spans="1:7">
      <c r="B16" s="26" t="s">
        <v>403</v>
      </c>
      <c r="C16" s="2" t="e">
        <f>ROUNDUP((VLOOKUP($C$6,'AKL 2025'!$K$3:$Y$9,12,FALSE))*(1+$C$7),-3)</f>
        <v>#N/A</v>
      </c>
      <c r="D16" s="3"/>
      <c r="E16" s="3"/>
    </row>
    <row r="17" spans="1:10">
      <c r="B17" s="26" t="s">
        <v>404</v>
      </c>
      <c r="C17" s="2" t="e">
        <f>ROUNDUP((VLOOKUP($C$6,'AKL 2025'!$K$3:$Y$9,13,FALSE))*(1+$C$7),-3)</f>
        <v>#N/A</v>
      </c>
      <c r="D17" s="3"/>
    </row>
    <row r="18" spans="1:10">
      <c r="B18" s="26" t="s">
        <v>405</v>
      </c>
      <c r="C18" s="2" t="e">
        <f>ROUNDUP((VLOOKUP($C$6,'AKL 2025'!$K$3:$Y$9,14,FALSE))*(1+$C$7),-3)</f>
        <v>#N/A</v>
      </c>
      <c r="D18" s="3"/>
      <c r="E18" s="3"/>
    </row>
    <row r="19" spans="1:10">
      <c r="B19" s="26" t="s">
        <v>406</v>
      </c>
      <c r="C19" s="2" t="e">
        <f>ROUNDUP((VLOOKUP($C$6,'AKL 2025'!$K$3:$Y$9,15,FALSE))*(1+$C$7),-3)</f>
        <v>#N/A</v>
      </c>
      <c r="D19" s="3"/>
    </row>
    <row r="20" spans="1:10" ht="20.100000000000001" customHeight="1">
      <c r="B20" s="26"/>
      <c r="C20" s="106"/>
      <c r="D20" s="3"/>
      <c r="E20" s="23"/>
    </row>
    <row r="21" spans="1:10" s="6" customFormat="1" ht="15">
      <c r="A21" s="27"/>
      <c r="B21" s="166" t="s">
        <v>407</v>
      </c>
      <c r="C21" s="166" t="s">
        <v>426</v>
      </c>
      <c r="D21" s="19"/>
      <c r="E21" s="20"/>
      <c r="F21" s="63"/>
      <c r="G21" s="63"/>
      <c r="H21" s="63"/>
    </row>
    <row r="22" spans="1:10" ht="9.9499999999999993" customHeight="1">
      <c r="A22" s="15"/>
      <c r="B22" s="3"/>
      <c r="C22" s="3"/>
      <c r="D22" s="4"/>
      <c r="E22" s="8"/>
    </row>
    <row r="23" spans="1:10">
      <c r="A23" s="33" t="s">
        <v>25</v>
      </c>
      <c r="B23" s="167" t="s">
        <v>408</v>
      </c>
      <c r="C23" s="3"/>
      <c r="D23" s="9"/>
      <c r="E23" s="10"/>
    </row>
    <row r="24" spans="1:10">
      <c r="A24" s="33" t="s">
        <v>31</v>
      </c>
      <c r="B24" s="167" t="s">
        <v>409</v>
      </c>
      <c r="C24" s="3"/>
      <c r="D24" s="9"/>
      <c r="E24" s="10"/>
    </row>
    <row r="25" spans="1:10">
      <c r="A25" s="33" t="s">
        <v>26</v>
      </c>
      <c r="B25" s="167" t="s">
        <v>409</v>
      </c>
      <c r="C25" s="79">
        <v>0</v>
      </c>
      <c r="D25" s="9" t="s">
        <v>1</v>
      </c>
      <c r="E25" s="10" t="e">
        <f t="shared" ref="E25:E29" si="0">C25*C10</f>
        <v>#N/A</v>
      </c>
    </row>
    <row r="26" spans="1:10">
      <c r="A26" s="33" t="s">
        <v>27</v>
      </c>
      <c r="B26" s="167" t="s">
        <v>409</v>
      </c>
      <c r="C26" s="79">
        <v>0</v>
      </c>
      <c r="D26" s="9" t="s">
        <v>1</v>
      </c>
      <c r="E26" s="10" t="e">
        <f t="shared" si="0"/>
        <v>#N/A</v>
      </c>
    </row>
    <row r="27" spans="1:10">
      <c r="A27" s="33" t="s">
        <v>28</v>
      </c>
      <c r="B27" s="167" t="s">
        <v>409</v>
      </c>
      <c r="C27" s="79">
        <v>0</v>
      </c>
      <c r="D27" s="9" t="s">
        <v>1</v>
      </c>
      <c r="E27" s="10" t="e">
        <f t="shared" si="0"/>
        <v>#N/A</v>
      </c>
    </row>
    <row r="28" spans="1:10">
      <c r="A28" s="33" t="s">
        <v>29</v>
      </c>
      <c r="B28" s="167" t="s">
        <v>409</v>
      </c>
      <c r="C28" s="79">
        <v>0</v>
      </c>
      <c r="D28" s="9" t="s">
        <v>1</v>
      </c>
      <c r="E28" s="10" t="e">
        <f t="shared" si="0"/>
        <v>#N/A</v>
      </c>
    </row>
    <row r="29" spans="1:10">
      <c r="A29" s="33" t="s">
        <v>30</v>
      </c>
      <c r="B29" s="167" t="s">
        <v>409</v>
      </c>
      <c r="C29" s="79">
        <v>0</v>
      </c>
      <c r="D29" s="9" t="s">
        <v>1</v>
      </c>
      <c r="E29" s="10" t="e">
        <f t="shared" si="0"/>
        <v>#N/A</v>
      </c>
    </row>
    <row r="30" spans="1:10">
      <c r="A30" s="108"/>
      <c r="B30" s="167" t="s">
        <v>410</v>
      </c>
      <c r="C30" s="79">
        <v>0</v>
      </c>
      <c r="D30" s="9" t="s">
        <v>1</v>
      </c>
      <c r="E30" s="10" t="e">
        <f>C30*(VLOOKUP($C$6,'AKL 2025'!$K$19:$U$25,9,FALSE))*(1+C7)</f>
        <v>#N/A</v>
      </c>
      <c r="F30" s="64"/>
      <c r="G30" s="64"/>
      <c r="H30" s="64"/>
      <c r="I30" s="5"/>
    </row>
    <row r="31" spans="1:10">
      <c r="A31" s="108"/>
      <c r="B31" s="167" t="s">
        <v>410</v>
      </c>
      <c r="C31" s="79">
        <v>0</v>
      </c>
      <c r="D31" s="9" t="s">
        <v>1</v>
      </c>
      <c r="E31" s="10" t="e">
        <f>C31*(VLOOKUP($C$6,'AKL 2025'!$K$19:$U$25,10,FALSE))*(1+C7)</f>
        <v>#N/A</v>
      </c>
      <c r="F31" s="65"/>
      <c r="G31" s="65"/>
      <c r="H31" s="65"/>
      <c r="I31" s="61"/>
      <c r="J31" s="67"/>
    </row>
    <row r="32" spans="1:10">
      <c r="A32" s="108"/>
      <c r="B32" s="167" t="s">
        <v>410</v>
      </c>
      <c r="C32" s="79">
        <v>0</v>
      </c>
      <c r="D32" s="9" t="s">
        <v>1</v>
      </c>
      <c r="E32" s="10" t="e">
        <f>C32*(VLOOKUP($C$6,'AKL 2025'!$K$19:$U$25,11,FALSE))*(1+C7)</f>
        <v>#N/A</v>
      </c>
      <c r="F32" s="320"/>
      <c r="G32" s="320"/>
      <c r="H32" s="320"/>
      <c r="I32" s="61"/>
      <c r="J32" s="67"/>
    </row>
    <row r="33" spans="1:10" s="5" customFormat="1" ht="14.25" customHeight="1">
      <c r="A33" s="29"/>
      <c r="B33" s="168" t="s">
        <v>411</v>
      </c>
      <c r="C33" s="18">
        <f>SUM(C23:C32)</f>
        <v>0</v>
      </c>
      <c r="D33" s="109"/>
      <c r="E33" s="110"/>
      <c r="F33" s="175"/>
      <c r="G33" s="175"/>
      <c r="H33" s="175"/>
      <c r="I33" s="61"/>
      <c r="J33" s="61"/>
    </row>
    <row r="34" spans="1:10">
      <c r="A34" s="15"/>
      <c r="B34" s="169" t="s">
        <v>414</v>
      </c>
      <c r="C34" s="7"/>
      <c r="D34" s="12" t="s">
        <v>1</v>
      </c>
      <c r="E34" s="111" t="e">
        <f>SUM(E25:E32)</f>
        <v>#N/A</v>
      </c>
      <c r="F34" s="65"/>
      <c r="G34" s="65"/>
      <c r="H34" s="65"/>
      <c r="I34" s="61"/>
      <c r="J34" s="67"/>
    </row>
    <row r="35" spans="1:10" ht="9.9499999999999993" customHeight="1">
      <c r="A35" s="15"/>
      <c r="B35" s="3"/>
      <c r="C35" s="3"/>
      <c r="D35" s="11"/>
      <c r="E35" s="10"/>
      <c r="F35" s="65"/>
      <c r="G35" s="65"/>
      <c r="H35" s="65"/>
      <c r="I35" s="61"/>
      <c r="J35" s="67"/>
    </row>
    <row r="36" spans="1:10" s="1" customFormat="1" ht="15.75">
      <c r="A36" s="30"/>
      <c r="B36" s="107" t="s">
        <v>503</v>
      </c>
      <c r="C36" s="105" t="s">
        <v>83</v>
      </c>
      <c r="D36" s="112">
        <f>VLOOKUP(B36,Nachhaltigkeisstandards!A17:C29,2,FALSE)</f>
        <v>0</v>
      </c>
      <c r="E36" s="113" t="e">
        <f>ROUND(SUM($E$25:$E$32)*D36/2,-3)*2</f>
        <v>#N/A</v>
      </c>
      <c r="F36" s="284">
        <f>MIN(SUM(D36:D37),"10%")</f>
        <v>0</v>
      </c>
      <c r="G36" s="65"/>
      <c r="H36" s="65"/>
      <c r="I36" s="68"/>
      <c r="J36" s="69"/>
    </row>
    <row r="37" spans="1:10">
      <c r="A37" s="15"/>
      <c r="B37" s="107" t="s">
        <v>70</v>
      </c>
      <c r="C37" s="105" t="s">
        <v>83</v>
      </c>
      <c r="D37" s="112">
        <f>VLOOKUP(B37,'Hindernisfreie Bauten'!A9:B14,2,FALSE)</f>
        <v>0</v>
      </c>
      <c r="E37" s="113" t="e">
        <f>ROUND(SUM($E$25:$E$32)*D37/2,-3)*2</f>
        <v>#N/A</v>
      </c>
      <c r="F37" s="65"/>
      <c r="G37" s="65"/>
      <c r="H37" s="65"/>
      <c r="I37" s="61"/>
      <c r="J37" s="67"/>
    </row>
    <row r="38" spans="1:10" s="5" customFormat="1">
      <c r="A38" s="29"/>
      <c r="B38" s="296" t="s">
        <v>518</v>
      </c>
      <c r="C38" s="13"/>
      <c r="D38" s="114" t="s">
        <v>1</v>
      </c>
      <c r="E38" s="14" t="e">
        <f>SUM(E34:E37)</f>
        <v>#N/A</v>
      </c>
      <c r="F38" s="65"/>
      <c r="G38" s="65"/>
      <c r="H38" s="65"/>
      <c r="I38" s="61"/>
      <c r="J38" s="61"/>
    </row>
    <row r="39" spans="1:10" ht="9.9499999999999993" customHeight="1">
      <c r="A39" s="15"/>
      <c r="B39" s="3"/>
      <c r="C39" s="3"/>
      <c r="D39" s="11"/>
      <c r="E39" s="10"/>
      <c r="F39" s="65"/>
      <c r="G39" s="65"/>
      <c r="H39" s="65"/>
      <c r="I39" s="61"/>
      <c r="J39" s="67"/>
    </row>
    <row r="40" spans="1:10">
      <c r="A40" s="15"/>
      <c r="B40" s="25" t="s">
        <v>416</v>
      </c>
      <c r="C40" s="79">
        <v>0</v>
      </c>
      <c r="D40" s="9" t="s">
        <v>1</v>
      </c>
      <c r="E40" s="10" t="e">
        <f>C40*C16</f>
        <v>#N/A</v>
      </c>
      <c r="F40" s="65"/>
      <c r="G40" s="65"/>
      <c r="H40" s="65"/>
      <c r="I40" s="61"/>
      <c r="J40" s="67"/>
    </row>
    <row r="41" spans="1:10">
      <c r="A41" s="15"/>
      <c r="B41" s="25" t="s">
        <v>417</v>
      </c>
      <c r="C41" s="79">
        <v>0</v>
      </c>
      <c r="D41" s="9" t="s">
        <v>1</v>
      </c>
      <c r="E41" s="10" t="e">
        <f>C41*C17</f>
        <v>#N/A</v>
      </c>
      <c r="F41" s="65"/>
      <c r="G41" s="65"/>
      <c r="H41" s="65"/>
      <c r="I41" s="61"/>
      <c r="J41" s="67"/>
    </row>
    <row r="42" spans="1:10">
      <c r="A42" s="15"/>
      <c r="B42" s="25" t="s">
        <v>418</v>
      </c>
      <c r="C42" s="79">
        <v>0</v>
      </c>
      <c r="D42" s="9" t="s">
        <v>1</v>
      </c>
      <c r="E42" s="10" t="e">
        <f>C42*C18</f>
        <v>#N/A</v>
      </c>
      <c r="F42" s="65"/>
      <c r="G42" s="65"/>
      <c r="H42" s="65"/>
      <c r="I42" s="61"/>
      <c r="J42" s="67"/>
    </row>
    <row r="43" spans="1:10">
      <c r="A43" s="15"/>
      <c r="B43" s="25" t="s">
        <v>419</v>
      </c>
      <c r="C43" s="79">
        <v>0</v>
      </c>
      <c r="D43" s="9" t="s">
        <v>1</v>
      </c>
      <c r="E43" s="10" t="e">
        <f>ROUNDUP(C43/10,0)*C16</f>
        <v>#N/A</v>
      </c>
      <c r="F43" s="70"/>
      <c r="G43" s="70"/>
      <c r="H43" s="70"/>
      <c r="I43" s="67"/>
      <c r="J43" s="67"/>
    </row>
    <row r="44" spans="1:10">
      <c r="A44" s="15"/>
      <c r="B44" s="25" t="s">
        <v>420</v>
      </c>
      <c r="C44" s="79">
        <v>0</v>
      </c>
      <c r="D44" s="9" t="s">
        <v>1</v>
      </c>
      <c r="E44" s="10" t="e">
        <f>ROUNDUP(C44/10,0)*C17</f>
        <v>#N/A</v>
      </c>
      <c r="F44" s="70"/>
      <c r="G44" s="70"/>
      <c r="H44" s="70"/>
      <c r="I44" s="67"/>
      <c r="J44" s="67"/>
    </row>
    <row r="45" spans="1:10">
      <c r="A45" s="15"/>
      <c r="B45" s="25" t="s">
        <v>421</v>
      </c>
      <c r="C45" s="79">
        <v>0</v>
      </c>
      <c r="D45" s="9" t="s">
        <v>1</v>
      </c>
      <c r="E45" s="10" t="e">
        <f>ROUNDUP(C45/10,0)*C18</f>
        <v>#N/A</v>
      </c>
    </row>
    <row r="46" spans="1:10" ht="9.9499999999999993" customHeight="1">
      <c r="A46" s="15"/>
      <c r="B46" s="3"/>
      <c r="C46" s="3"/>
      <c r="D46" s="11"/>
      <c r="E46" s="10"/>
    </row>
    <row r="47" spans="1:10" ht="14.25" customHeight="1">
      <c r="A47" s="15"/>
      <c r="B47" s="315" t="s">
        <v>422</v>
      </c>
      <c r="C47" s="79">
        <v>0</v>
      </c>
      <c r="D47" s="9" t="s">
        <v>1</v>
      </c>
      <c r="E47" s="10" t="e">
        <f>C47*C19</f>
        <v>#N/A</v>
      </c>
      <c r="F47"/>
      <c r="G47"/>
      <c r="H47"/>
    </row>
    <row r="48" spans="1:10">
      <c r="A48" s="15"/>
      <c r="B48" s="316"/>
      <c r="C48" s="115"/>
      <c r="D48" s="9"/>
      <c r="E48" s="10"/>
      <c r="F48"/>
      <c r="G48"/>
      <c r="H48"/>
    </row>
    <row r="49" spans="1:8" s="5" customFormat="1" ht="15" thickBot="1">
      <c r="A49" s="29"/>
      <c r="B49" s="170" t="s">
        <v>423</v>
      </c>
      <c r="C49" s="13"/>
      <c r="D49" s="12" t="s">
        <v>1</v>
      </c>
      <c r="E49" s="14" t="e">
        <f>SUM(E40:E48)</f>
        <v>#N/A</v>
      </c>
      <c r="F49" s="64"/>
      <c r="G49" s="64"/>
      <c r="H49" s="64"/>
    </row>
    <row r="50" spans="1:8" ht="21.6" customHeight="1" thickTop="1">
      <c r="A50" s="158"/>
      <c r="B50" s="172" t="s">
        <v>425</v>
      </c>
      <c r="C50" s="159"/>
      <c r="D50" s="160" t="s">
        <v>1</v>
      </c>
      <c r="E50" s="161" t="e">
        <f>E38+E49</f>
        <v>#N/A</v>
      </c>
      <c r="G50" s="66"/>
      <c r="H50" s="66"/>
    </row>
    <row r="53" spans="1:8">
      <c r="D53" s="62"/>
      <c r="E53" s="62"/>
      <c r="G53"/>
      <c r="H53"/>
    </row>
    <row r="54" spans="1:8">
      <c r="C54" s="104"/>
      <c r="D54" s="62"/>
      <c r="E54" s="62"/>
      <c r="G54"/>
      <c r="H54"/>
    </row>
    <row r="55" spans="1:8">
      <c r="D55" s="62"/>
      <c r="E55" s="62"/>
      <c r="G55"/>
      <c r="H55"/>
    </row>
    <row r="56" spans="1:8">
      <c r="D56" s="62"/>
      <c r="E56" s="62"/>
      <c r="G56"/>
      <c r="H56"/>
    </row>
    <row r="57" spans="1:8">
      <c r="D57" s="62"/>
      <c r="E57" s="62"/>
      <c r="G57"/>
      <c r="H57"/>
    </row>
  </sheetData>
  <sheetProtection algorithmName="SHA-512" hashValue="ns8L3uR8RvKGtHKdtNCfU5BGYg1CFzTftMpmcDnbXYLhfmSJ19Ux8lAzUuf4ahMeayIu61Oe3D8wjEAWZ4uwpw==" saltValue="ozlEF5bQVl/Hd3JYDhsT6w==" spinCount="100000" sheet="1" selectLockedCells="1"/>
  <mergeCells count="9">
    <mergeCell ref="F3:G5"/>
    <mergeCell ref="F32:H32"/>
    <mergeCell ref="B47:B48"/>
    <mergeCell ref="A1:E1"/>
    <mergeCell ref="B2:E2"/>
    <mergeCell ref="C3:E3"/>
    <mergeCell ref="C4:E4"/>
    <mergeCell ref="A5:B5"/>
    <mergeCell ref="C5:E5"/>
  </mergeCells>
  <pageMargins left="0.70866141732283472" right="0.70866141732283472" top="1.1811023622047245" bottom="0.51181102362204722" header="0.31496062992125984" footer="0.31496062992125984"/>
  <pageSetup paperSize="9" scale="92" orientation="portrait" horizontalDpi="300" verticalDpi="300" r:id="rId1"/>
  <headerFooter scaleWithDoc="0">
    <oddHeader>&amp;L&amp;G</oddHeader>
    <oddFooter xml:space="preserve">&amp;L&amp;8&amp;F&amp;R&amp;8&amp;D 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xr:uid="{EB583F9C-86F6-4C44-B066-7F92EFDD12AF}">
          <x14:formula1>
            <xm:f>_xlfn.ANCHORARRAY('Kostenstufen 2025'!#REF!)</xm:f>
          </x14:formula1>
          <xm:sqref>D5:E5</xm:sqref>
        </x14:dataValidation>
        <x14:dataValidation type="list" allowBlank="1" showInputMessage="1" showErrorMessage="1" xr:uid="{C72010DC-AAA0-4414-BBEB-AF5C45E32249}">
          <x14:formula1>
            <xm:f>Nachhaltigkeisstandards!$A$17:$A$29</xm:f>
          </x14:formula1>
          <xm:sqref>B36</xm:sqref>
        </x14:dataValidation>
        <x14:dataValidation type="list" allowBlank="1" showInputMessage="1" showErrorMessage="1" xr:uid="{17631BE3-7414-4979-A4BB-A75A696771B8}">
          <x14:formula1>
            <xm:f>'Hindernisfreie Bauten'!$A$9:$A$14</xm:f>
          </x14:formula1>
          <xm:sqref>B37</xm:sqref>
        </x14:dataValidation>
        <x14:dataValidation type="list" showInputMessage="1" xr:uid="{6DA0B356-24D8-4C7B-8BF7-0958F1E94520}">
          <x14:formula1>
            <xm:f>_xlfn.ANCHORARRAY('Kostenstufen 2025'!I2)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9"/>
    <pageSetUpPr fitToPage="1"/>
  </sheetPr>
  <dimension ref="A1:Y25"/>
  <sheetViews>
    <sheetView zoomScale="85" zoomScaleNormal="85" workbookViewId="0">
      <selection activeCell="D3" sqref="D3"/>
    </sheetView>
  </sheetViews>
  <sheetFormatPr baseColWidth="10" defaultColWidth="10.625" defaultRowHeight="14.25"/>
  <cols>
    <col min="1" max="1" width="26.375" bestFit="1" customWidth="1"/>
    <col min="2" max="2" width="4.375" bestFit="1" customWidth="1"/>
    <col min="3" max="3" width="13.875" style="28" bestFit="1" customWidth="1"/>
    <col min="4" max="5" width="13.875" style="28" customWidth="1"/>
    <col min="6" max="6" width="20.625" style="28" customWidth="1"/>
    <col min="7" max="7" width="13.75" style="28" bestFit="1" customWidth="1"/>
    <col min="8" max="8" width="17.375" style="28" bestFit="1" customWidth="1"/>
    <col min="9" max="9" width="11.125" style="28" bestFit="1" customWidth="1"/>
    <col min="10" max="10" width="11.125" style="28" customWidth="1"/>
    <col min="11" max="11" width="4.375" customWidth="1"/>
    <col min="12" max="21" width="6.625" customWidth="1"/>
    <col min="22" max="25" width="12.125" customWidth="1"/>
  </cols>
  <sheetData>
    <row r="1" spans="1:25" ht="30" customHeight="1" thickBot="1">
      <c r="A1" s="329" t="s">
        <v>51</v>
      </c>
      <c r="B1" s="330"/>
      <c r="C1" s="330"/>
      <c r="D1" s="330"/>
      <c r="E1" s="330"/>
      <c r="F1" s="331"/>
      <c r="G1" s="135" t="s">
        <v>53</v>
      </c>
      <c r="H1" s="136" t="s">
        <v>54</v>
      </c>
      <c r="I1" s="334" t="s">
        <v>55</v>
      </c>
      <c r="J1" s="335"/>
      <c r="K1" s="321" t="s">
        <v>389</v>
      </c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5" ht="15">
      <c r="A2" s="44" t="s">
        <v>18</v>
      </c>
      <c r="C2" s="42" t="s">
        <v>3</v>
      </c>
      <c r="D2" s="42" t="s">
        <v>4</v>
      </c>
      <c r="E2" s="42" t="s">
        <v>384</v>
      </c>
      <c r="F2" s="130"/>
      <c r="G2" s="45"/>
      <c r="H2" s="289" t="s">
        <v>390</v>
      </c>
      <c r="I2" s="290" t="s">
        <v>386</v>
      </c>
      <c r="J2" s="291" t="s">
        <v>384</v>
      </c>
      <c r="K2" s="133"/>
      <c r="L2" s="332" t="s">
        <v>385</v>
      </c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3"/>
    </row>
    <row r="3" spans="1:25" ht="19.5" customHeight="1">
      <c r="A3" s="34" t="s">
        <v>19</v>
      </c>
      <c r="B3" s="35" t="s">
        <v>52</v>
      </c>
      <c r="C3" s="86">
        <v>869</v>
      </c>
      <c r="D3" s="86">
        <v>1042.9795799999997</v>
      </c>
      <c r="E3" s="87">
        <v>1216.8095099999996</v>
      </c>
      <c r="F3" s="131" t="s">
        <v>32</v>
      </c>
      <c r="G3" s="46" t="s">
        <v>11</v>
      </c>
      <c r="H3" s="47">
        <v>0.2</v>
      </c>
      <c r="I3" s="85">
        <v>7.0055013753438367E-2</v>
      </c>
      <c r="J3" s="292">
        <v>0.18817105263157896</v>
      </c>
      <c r="K3" s="137"/>
      <c r="L3" s="51">
        <v>1</v>
      </c>
      <c r="M3" s="51">
        <v>2</v>
      </c>
      <c r="N3" s="51">
        <v>3</v>
      </c>
      <c r="O3" s="51">
        <v>4</v>
      </c>
      <c r="P3" s="51">
        <v>5</v>
      </c>
      <c r="Q3" s="51">
        <v>6</v>
      </c>
      <c r="R3" s="51">
        <v>7</v>
      </c>
      <c r="S3" s="51">
        <f>'Logements locatifs'!A30</f>
        <v>0</v>
      </c>
      <c r="T3" s="51">
        <f>'Logements locatifs'!A31</f>
        <v>0</v>
      </c>
      <c r="U3" s="51">
        <f>'Logements locatifs'!A32</f>
        <v>0</v>
      </c>
      <c r="V3" s="149" t="s">
        <v>13</v>
      </c>
      <c r="W3" s="149" t="s">
        <v>14</v>
      </c>
      <c r="X3" s="149" t="s">
        <v>15</v>
      </c>
      <c r="Y3" s="150" t="s">
        <v>0</v>
      </c>
    </row>
    <row r="4" spans="1:25" s="6" customFormat="1" ht="20.45" customHeight="1">
      <c r="A4" s="34" t="s">
        <v>43</v>
      </c>
      <c r="B4" s="35" t="s">
        <v>52</v>
      </c>
      <c r="C4" s="86">
        <v>434.57482499999998</v>
      </c>
      <c r="D4" s="86">
        <v>521.48978999999986</v>
      </c>
      <c r="E4" s="87">
        <v>608.4047549999998</v>
      </c>
      <c r="F4" s="132" t="s">
        <v>33</v>
      </c>
      <c r="G4" s="46" t="s">
        <v>10</v>
      </c>
      <c r="H4" s="47">
        <v>0.28000000000000003</v>
      </c>
      <c r="I4" s="85">
        <v>0.10250784621420163</v>
      </c>
      <c r="J4" s="292">
        <v>0.17453967826613717</v>
      </c>
      <c r="K4" s="138" t="s">
        <v>11</v>
      </c>
      <c r="L4" s="148">
        <f t="shared" ref="L4:L9" si="0">ROUNDUP(((($C$3*$C$7*$C$8*$L$3)+(ROUND(((((6+(INT(($L$3-3)/2)))*$C$3*$C$7)+((4+(INT(($L$3-3)/2)))*$C$5*$C$7)+((1+(INT(($L$3-3)/2)))*$C$10))+((((1.6*1.6)*$C$3*$C$7)+(2*$C$3*$C$7)+((1.6*$L$3)*$C$4*$C$7)))+($C$9)),-3))+(ROUND(((3.8+(3.8*(INT(($L$3-1)/6))))*$C$3*$C$7)+((ROUNDDOWN(($L$3/4),0)*2)*$C$3*$C$7)+((1+(1*(INT(($L$3-1)/6))))*$C$11)+((ROUNDDOWN(($L$3/4),0))*$C$12),-3))+(ROUND((($L$3*12)*$C$6)+(($L$3*2)*$C$4*$C$7)+(($L$3*1.5)*$C$4*$C$7),-3))+((($C$3*$C$7*$C$8*$L$3)+(ROUND(((((6+(INT(($L$3-3)/2)))*$C$3*$C$7)+((4+(INT(($L$3-3)/2)))*$C$5*$C$7)+((1+(INT(($L$3-3)/2)))*$C$10))+((((1.6*1.6)*$C$3*$C$7)+(2*$C$3*$C$7)+((1.6*$L$3)*$C$4*$C$7)))+($C$9)),-3))+(ROUND(((3.8+(3.8*(INT(($L$3-1)/6))))*$C$3*$C$7)+((ROUNDDOWN(($L$3/4),0)*2)*$C$3*$C$7)+((1+(1*(INT(($L$3-1)/6))))*$C$11)+((ROUNDDOWN(($L$3/4),0))*$C$12),-3)))*$C$13))*(1+(VLOOKUP($G3,$G$3:$H$8,2,FALSE))))*(1+(VLOOKUP($G3,$G$3:$I$8,3,FALSE)))*2,-4)/2</f>
        <v>205000</v>
      </c>
      <c r="M4" s="148">
        <f t="shared" ref="M4:M9" si="1">ROUNDUP(((($C$3*$C$7*$C$8*$M$3)+(ROUND(((((6+(INT(($M$3-3)/2)))*$C$3*$C$7)+((4+(INT(($M$3-3)/2)))*$C$5*$C$7)+((1+(INT(($M$3-3)/2)))*$C$10))+((((2.7*1.6)*$C$3*$C$7)+(2*$C$3*$C$7)+((1.6*$M$3)*$C$4*$C$7)))+($C$9)),-3))+(ROUND(((3.8+(3.8*(INT(($M$3-1)/6))))*$C$3*$C$7)+((ROUNDDOWN(($M$3/4),0)*2)*$C$3*$C$7)+((1+(1*(INT(($M$3-1)/6))))*$C$11)+((ROUNDDOWN(($M$3/4),0))*$C$12),-3))+(ROUND((($M$3*12)*$C$6)+(($M$3*2)*$C$4*$C$7)+(($M$3*1.5)*$C$4*$C$7),-3))+((($C$3*$C$7*$C$8*$M$3)+(ROUND(((((6+(INT(($M$3-3)/2)))*$C$3*$C$7)+((4+(INT(($M$3-3)/2)))*$C$5*$C$7)+((1+(INT(($M$3-3)/2)))*$C$10))+((((2.7*1.6)*$C$3*$C$7)+(2*$C$3*$C$7)+((1.6*$M$3)*$C$4*$C$7)))+($C$9)),-3))+(ROUND(((3.8+(3.8*(INT(($M$3-1)/6))))*$C$3*$C$7)+((ROUNDDOWN(($M$3/4),0)*2)*$C$3*$C$7)+((1+(1*(INT(($M$3-1)/6))))*$C$11)+((ROUNDDOWN(($M$3/4),0))*$C$12),-3)))*$C$13))*(1+(VLOOKUP($G3,$G$3:$H$8,2,FALSE))))*(1+(VLOOKUP($G3,$G$3:$I$8,3,FALSE)))*2,-4)/2</f>
        <v>275000</v>
      </c>
      <c r="N4" s="148">
        <f t="shared" ref="N4:U9" si="2">ROUNDUP(((($C$3*$C$7*$C$8*N$3)+(ROUND(((((6+(INT((N$3-3)/2)))*$C$3*$C$7)+((4+(INT((N$3-3)/2)))*$C$5*$C$7)+((1+(INT((N$3-3)/2)))*$C$10))+((((2.7*(1.8+(N$3-3)*0.6))*$C$3*$C$7)+((2.5+(N$3-3))*$C$3*$C$7)+((1.6*N$3)*$C$4*$C$7)))+($C$9)),-3))+(ROUND(((3.8+(3.8*(INT((N$3-1)/6))))*$C$3*$C$7)+((ROUNDDOWN((N$3/4),0)*2)*$C$3*$C$7)+((1+(1*(INT((N$3-1)/6))))*$C$11)+((ROUNDDOWN((N$3/4),0))*$C$12),-3))+(ROUND(((N$3*12)*$C$6)+((N$3*2)*$C$4*$C$7)+((N$3*1.5)*$C$4*$C$7),-3))+((($C$3*$C$7*$C$8*N$3)+(ROUND(((((6+(INT((N$3-3)/2)))*$C$3*$C$7)+((4+(INT((N$3-3)/2)))*$C$5*$C$7)+((1+(INT((N$3-3)/2)))*$C$10))+((((2.7*(1.8+(N$3-3)*0.6))*$C$3*$C$7)+((2.5+(N$3-3))*$C$3*$C$7)+((1.6*N$3)*$C$4*$C$7)))+($C$9)),-3))+(ROUND(((3.8+(3.8*(INT((N$3-1)/6))))*$C$3*$C$7)+((ROUNDDOWN((N$3/4),0)*2)*$C$3*$C$7)+((1+(1*(INT((N$3-1)/6))))*$C$11)+((ROUNDDOWN((N$3/4),0))*$C$12),-3)))*$C$13))*(1+(VLOOKUP($G3,$G$3:$H$8,2,FALSE))))*(1+(VLOOKUP($G3,$G$3:$I$8,3,FALSE)))*2,-4)/2</f>
        <v>350000</v>
      </c>
      <c r="O4" s="148">
        <f t="shared" si="2"/>
        <v>440000</v>
      </c>
      <c r="P4" s="148">
        <f t="shared" si="2"/>
        <v>520000</v>
      </c>
      <c r="Q4" s="148">
        <f t="shared" si="2"/>
        <v>595000</v>
      </c>
      <c r="R4" s="148">
        <f t="shared" si="2"/>
        <v>720000</v>
      </c>
      <c r="S4" s="148">
        <f t="shared" si="2"/>
        <v>70000</v>
      </c>
      <c r="T4" s="148">
        <f t="shared" si="2"/>
        <v>70000</v>
      </c>
      <c r="U4" s="148">
        <f t="shared" si="2"/>
        <v>70000</v>
      </c>
      <c r="V4" s="153">
        <v>38000</v>
      </c>
      <c r="W4" s="153">
        <v>21000</v>
      </c>
      <c r="X4" s="153">
        <v>13000</v>
      </c>
      <c r="Y4" s="154">
        <v>26000</v>
      </c>
    </row>
    <row r="5" spans="1:25">
      <c r="A5" s="36" t="s">
        <v>44</v>
      </c>
      <c r="B5" s="35" t="s">
        <v>52</v>
      </c>
      <c r="C5" s="86">
        <v>347.65985999999998</v>
      </c>
      <c r="D5" s="86">
        <v>417.19183199999986</v>
      </c>
      <c r="E5" s="87">
        <v>486.72380399999986</v>
      </c>
      <c r="F5" s="132" t="s">
        <v>34</v>
      </c>
      <c r="G5" s="46" t="s">
        <v>9</v>
      </c>
      <c r="H5" s="47">
        <v>0.36</v>
      </c>
      <c r="I5" s="85">
        <v>0.10373359937972754</v>
      </c>
      <c r="J5" s="292">
        <v>0.16060000522086046</v>
      </c>
      <c r="K5" s="139" t="s">
        <v>10</v>
      </c>
      <c r="L5" s="148">
        <f t="shared" si="0"/>
        <v>225000</v>
      </c>
      <c r="M5" s="148">
        <f t="shared" si="1"/>
        <v>300000</v>
      </c>
      <c r="N5" s="148">
        <f t="shared" si="2"/>
        <v>385000</v>
      </c>
      <c r="O5" s="148">
        <f t="shared" si="2"/>
        <v>480000</v>
      </c>
      <c r="P5" s="148">
        <f t="shared" si="2"/>
        <v>570000</v>
      </c>
      <c r="Q5" s="148">
        <f t="shared" si="2"/>
        <v>650000</v>
      </c>
      <c r="R5" s="148">
        <f t="shared" si="2"/>
        <v>790000</v>
      </c>
      <c r="S5" s="148">
        <f t="shared" si="2"/>
        <v>75000</v>
      </c>
      <c r="T5" s="148">
        <f t="shared" si="2"/>
        <v>75000</v>
      </c>
      <c r="U5" s="148">
        <f t="shared" si="2"/>
        <v>75000</v>
      </c>
      <c r="V5" s="153">
        <v>38000</v>
      </c>
      <c r="W5" s="153">
        <v>21000</v>
      </c>
      <c r="X5" s="153">
        <v>13000</v>
      </c>
      <c r="Y5" s="154">
        <v>26000</v>
      </c>
    </row>
    <row r="6" spans="1:25">
      <c r="A6" s="36" t="s">
        <v>45</v>
      </c>
      <c r="B6" s="35" t="s">
        <v>52</v>
      </c>
      <c r="C6" s="86">
        <v>289.71654999999998</v>
      </c>
      <c r="D6" s="86">
        <v>347.65985999999992</v>
      </c>
      <c r="E6" s="87">
        <v>405.60316999999986</v>
      </c>
      <c r="F6" s="132" t="s">
        <v>35</v>
      </c>
      <c r="G6" s="46" t="s">
        <v>8</v>
      </c>
      <c r="H6" s="47">
        <v>0.43</v>
      </c>
      <c r="I6" s="85">
        <v>0.12234357034000036</v>
      </c>
      <c r="J6" s="292">
        <v>0.17502748529813247</v>
      </c>
      <c r="K6" s="139" t="s">
        <v>9</v>
      </c>
      <c r="L6" s="148">
        <f t="shared" si="0"/>
        <v>240000</v>
      </c>
      <c r="M6" s="148">
        <f>ROUNDUP(((($C$3*$C$7*$C$8*$M$3)+(ROUND(((((6+(INT(($M$3-3)/2)))*$C$3*$C$7)+((4+(INT(($M$3-3)/2)))*$C$5*$C$7)+((1+(INT(($M$3-3)/2)))*$C$10))+((((2.7*1.6)*$C$3*$C$7)+(2*$C$3*$C$7)+((1.6*$M$3)*$C$4*$C$7)))+($C$9)),-3))+(ROUND(((3.8+(3.8*(INT(($M$3-1)/6))))*$C$3*$C$7)+((ROUNDDOWN(($M$3/4),0)*2)*$C$3*$C$7)+((1+(1*(INT(($M$3-1)/6))))*$C$11)+((ROUNDDOWN(($M$3/4),0))*$C$12),-3))+(ROUND((($M$3*12)*$C$6)+(($M$3*2)*$C$4*$C$7)+(($M$3*1.5)*$C$4*$C$7),-3))+((($C$3*$C$7*$C$8*$M$3)+(ROUND(((((6+(INT(($M$3-3)/2)))*$C$3*$C$7)+((4+(INT(($M$3-3)/2)))*$C$5*$C$7)+((1+(INT(($M$3-3)/2)))*$C$10))+((((2.7*1.6)*$C$3*$C$7)+(2*$C$3*$C$7)+((1.6*$M$3)*$C$4*$C$7)))+($C$9)),-3))+(ROUND(((3.8+(3.8*(INT(($M$3-1)/6))))*$C$3*$C$7)+((ROUNDDOWN(($M$3/4),0)*2)*$C$3*$C$7)+((1+(1*(INT(($M$3-1)/6))))*$C$11)+((ROUNDDOWN(($M$3/4),0))*$C$12),-3)))*$C$13))*(1+(VLOOKUP($G5,$G$3:$H$8,2,FALSE))))*(1+(VLOOKUP($G5,$G$3:$I$8,3,FALSE)))*2,-4)/2</f>
        <v>320000</v>
      </c>
      <c r="N6" s="148">
        <f t="shared" si="2"/>
        <v>410000</v>
      </c>
      <c r="O6" s="148">
        <f t="shared" si="2"/>
        <v>510000</v>
      </c>
      <c r="P6" s="148">
        <f t="shared" si="2"/>
        <v>610000</v>
      </c>
      <c r="Q6" s="148">
        <f t="shared" si="2"/>
        <v>695000</v>
      </c>
      <c r="R6" s="148">
        <f t="shared" si="2"/>
        <v>840000</v>
      </c>
      <c r="S6" s="148">
        <f t="shared" si="2"/>
        <v>80000</v>
      </c>
      <c r="T6" s="148">
        <f t="shared" si="2"/>
        <v>80000</v>
      </c>
      <c r="U6" s="148">
        <f t="shared" si="2"/>
        <v>80000</v>
      </c>
      <c r="V6" s="153">
        <v>43000</v>
      </c>
      <c r="W6" s="153">
        <v>23000</v>
      </c>
      <c r="X6" s="153">
        <v>14000</v>
      </c>
      <c r="Y6" s="154">
        <v>27000</v>
      </c>
    </row>
    <row r="7" spans="1:25" ht="15" customHeight="1">
      <c r="A7" s="37" t="s">
        <v>20</v>
      </c>
      <c r="B7" s="38" t="s">
        <v>46</v>
      </c>
      <c r="C7" s="87">
        <v>3</v>
      </c>
      <c r="D7" s="87">
        <v>3</v>
      </c>
      <c r="E7" s="87">
        <v>3</v>
      </c>
      <c r="F7" s="132" t="s">
        <v>36</v>
      </c>
      <c r="G7" s="46" t="s">
        <v>6</v>
      </c>
      <c r="H7" s="47">
        <v>0.51</v>
      </c>
      <c r="I7" s="85">
        <v>0.22622582085735793</v>
      </c>
      <c r="J7" s="292">
        <v>0.21262841132648969</v>
      </c>
      <c r="K7" s="140" t="s">
        <v>8</v>
      </c>
      <c r="L7" s="148">
        <f t="shared" si="0"/>
        <v>255000</v>
      </c>
      <c r="M7" s="148">
        <f t="shared" si="1"/>
        <v>340000</v>
      </c>
      <c r="N7" s="148">
        <f t="shared" si="2"/>
        <v>435000</v>
      </c>
      <c r="O7" s="148">
        <f t="shared" si="2"/>
        <v>545000</v>
      </c>
      <c r="P7" s="148">
        <f t="shared" si="2"/>
        <v>650000</v>
      </c>
      <c r="Q7" s="148">
        <f t="shared" si="2"/>
        <v>740000</v>
      </c>
      <c r="R7" s="148">
        <f t="shared" si="2"/>
        <v>900000</v>
      </c>
      <c r="S7" s="148">
        <f t="shared" si="2"/>
        <v>85000</v>
      </c>
      <c r="T7" s="148">
        <f t="shared" si="2"/>
        <v>85000</v>
      </c>
      <c r="U7" s="148">
        <f t="shared" si="2"/>
        <v>85000</v>
      </c>
      <c r="V7" s="153">
        <v>43000</v>
      </c>
      <c r="W7" s="153">
        <v>23000</v>
      </c>
      <c r="X7" s="153">
        <v>14000</v>
      </c>
      <c r="Y7" s="154">
        <v>27000</v>
      </c>
    </row>
    <row r="8" spans="1:25" ht="15" customHeight="1" thickBot="1">
      <c r="A8" s="37" t="s">
        <v>47</v>
      </c>
      <c r="B8" s="40" t="s">
        <v>48</v>
      </c>
      <c r="C8" s="87">
        <v>14</v>
      </c>
      <c r="D8" s="87">
        <v>17</v>
      </c>
      <c r="E8" s="87">
        <v>20</v>
      </c>
      <c r="F8" s="132" t="s">
        <v>37</v>
      </c>
      <c r="G8" s="121" t="s">
        <v>7</v>
      </c>
      <c r="H8" s="122">
        <v>0.56999999999999995</v>
      </c>
      <c r="I8" s="123">
        <v>0.34737658002405164</v>
      </c>
      <c r="J8" s="293">
        <v>0.33805088062622307</v>
      </c>
      <c r="K8" s="140" t="s">
        <v>6</v>
      </c>
      <c r="L8" s="148">
        <f t="shared" si="0"/>
        <v>295000</v>
      </c>
      <c r="M8" s="148">
        <f t="shared" si="1"/>
        <v>395000</v>
      </c>
      <c r="N8" s="148">
        <f t="shared" si="2"/>
        <v>505000</v>
      </c>
      <c r="O8" s="148">
        <f t="shared" si="2"/>
        <v>630000</v>
      </c>
      <c r="P8" s="148">
        <f t="shared" si="2"/>
        <v>750000</v>
      </c>
      <c r="Q8" s="148">
        <f t="shared" si="2"/>
        <v>855000</v>
      </c>
      <c r="R8" s="148">
        <f t="shared" si="2"/>
        <v>1035000</v>
      </c>
      <c r="S8" s="148">
        <f t="shared" si="2"/>
        <v>100000</v>
      </c>
      <c r="T8" s="148">
        <f t="shared" si="2"/>
        <v>100000</v>
      </c>
      <c r="U8" s="148">
        <f t="shared" si="2"/>
        <v>100000</v>
      </c>
      <c r="V8" s="153">
        <v>47000</v>
      </c>
      <c r="W8" s="153">
        <v>25000</v>
      </c>
      <c r="X8" s="153">
        <v>15000</v>
      </c>
      <c r="Y8" s="154">
        <v>29000</v>
      </c>
    </row>
    <row r="9" spans="1:25" ht="15" customHeight="1" thickBot="1">
      <c r="A9" s="36" t="s">
        <v>21</v>
      </c>
      <c r="B9" s="41" t="s">
        <v>1</v>
      </c>
      <c r="C9" s="87">
        <v>40355</v>
      </c>
      <c r="D9" s="87">
        <v>42400</v>
      </c>
      <c r="E9" s="87">
        <v>53000</v>
      </c>
      <c r="F9" s="132" t="s">
        <v>38</v>
      </c>
      <c r="K9" s="141" t="s">
        <v>7</v>
      </c>
      <c r="L9" s="155">
        <f t="shared" si="0"/>
        <v>335000</v>
      </c>
      <c r="M9" s="155">
        <f t="shared" si="1"/>
        <v>450000</v>
      </c>
      <c r="N9" s="155">
        <f t="shared" si="2"/>
        <v>575000</v>
      </c>
      <c r="O9" s="155">
        <f t="shared" si="2"/>
        <v>720000</v>
      </c>
      <c r="P9" s="155">
        <f t="shared" si="2"/>
        <v>855000</v>
      </c>
      <c r="Q9" s="155">
        <f t="shared" si="2"/>
        <v>975000</v>
      </c>
      <c r="R9" s="155">
        <f t="shared" si="2"/>
        <v>1185000</v>
      </c>
      <c r="S9" s="155">
        <f t="shared" si="2"/>
        <v>115000</v>
      </c>
      <c r="T9" s="155">
        <f t="shared" si="2"/>
        <v>115000</v>
      </c>
      <c r="U9" s="155">
        <f t="shared" si="2"/>
        <v>115000</v>
      </c>
      <c r="V9" s="156">
        <v>47000</v>
      </c>
      <c r="W9" s="156">
        <v>25000</v>
      </c>
      <c r="X9" s="156">
        <v>15000</v>
      </c>
      <c r="Y9" s="157">
        <v>29000</v>
      </c>
    </row>
    <row r="10" spans="1:25" ht="15" customHeight="1">
      <c r="A10" s="36" t="s">
        <v>22</v>
      </c>
      <c r="B10" s="41" t="s">
        <v>1</v>
      </c>
      <c r="C10" s="87">
        <v>2882.5</v>
      </c>
      <c r="D10" s="87">
        <v>3180</v>
      </c>
      <c r="E10" s="87">
        <v>3180</v>
      </c>
      <c r="F10" s="132" t="s">
        <v>39</v>
      </c>
      <c r="G10" s="39"/>
      <c r="H10" s="39"/>
      <c r="I10" s="39"/>
      <c r="J10" s="39"/>
      <c r="K10" s="133"/>
      <c r="L10" s="332" t="s">
        <v>4</v>
      </c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3"/>
    </row>
    <row r="11" spans="1:25" ht="15" customHeight="1">
      <c r="A11" s="36" t="s">
        <v>23</v>
      </c>
      <c r="B11" s="41" t="s">
        <v>1</v>
      </c>
      <c r="C11" s="87">
        <v>23060</v>
      </c>
      <c r="D11" s="87">
        <v>26500</v>
      </c>
      <c r="E11" s="87">
        <v>31800</v>
      </c>
      <c r="F11" s="132" t="s">
        <v>40</v>
      </c>
      <c r="G11" s="124"/>
      <c r="H11" s="125"/>
      <c r="I11" s="39"/>
      <c r="J11" s="126"/>
      <c r="K11" s="137"/>
      <c r="L11" s="50"/>
      <c r="M11" s="51">
        <v>2</v>
      </c>
      <c r="N11" s="51">
        <v>3</v>
      </c>
      <c r="O11" s="51">
        <v>4</v>
      </c>
      <c r="P11" s="51">
        <v>5</v>
      </c>
      <c r="Q11" s="51">
        <v>6</v>
      </c>
      <c r="R11" s="51">
        <v>7</v>
      </c>
      <c r="S11" s="51">
        <f>PPE!A30</f>
        <v>0</v>
      </c>
      <c r="T11" s="51">
        <f>PPE!A31</f>
        <v>0</v>
      </c>
      <c r="U11" s="51">
        <f>PPE!A32</f>
        <v>0</v>
      </c>
      <c r="V11" s="151" t="s">
        <v>13</v>
      </c>
      <c r="W11" s="151" t="s">
        <v>14</v>
      </c>
      <c r="X11" s="151" t="s">
        <v>15</v>
      </c>
      <c r="Y11" s="152" t="s">
        <v>0</v>
      </c>
    </row>
    <row r="12" spans="1:25" ht="15" customHeight="1">
      <c r="A12" s="36" t="s">
        <v>24</v>
      </c>
      <c r="B12" s="41" t="s">
        <v>1</v>
      </c>
      <c r="C12" s="87">
        <v>5765</v>
      </c>
      <c r="D12" s="87">
        <v>6360</v>
      </c>
      <c r="E12" s="87">
        <v>6360</v>
      </c>
      <c r="F12" s="132" t="s">
        <v>41</v>
      </c>
      <c r="G12" s="127"/>
      <c r="H12" s="48"/>
      <c r="I12" s="43"/>
      <c r="J12" s="49"/>
      <c r="K12" s="138" t="s">
        <v>11</v>
      </c>
      <c r="L12" s="148"/>
      <c r="M12" s="148">
        <f t="shared" ref="M12:M17" si="3">ROUNDUP(((($D$3*$D$7*$D$8*$M$11)+(ROUND(((((6+(INT(($M$11-3)/2)))*$D$3*$D$7)+((4+(INT(($M$11-3)/2)))*$D$5*$D$7)+((1+(INT(($M$11-3)/2)))*$D$10))+((((2.7*1.6)*$D$3*$D$7)+(2*$D$3*$D$7)+((1.6*$M$11)*$D$4*$D$7)))+($D$9)),-3))+(ROUND(((3.8+(3.8*(INT(($M$11-1)/6))))*$D$3*$D$7)+((ROUNDDOWN(($M$11/4),0)*2)*$D$3*$D$7)+((1+(1*(INT(($M$11-1)/6))))*$D$11)+((ROUNDDOWN(($M$11/4),0))*$D$12),-3))+(ROUND((($M$11*12)*$D$6)+(($M$11*2)*$D$4*$D$7)+(($M$11*1.5)*$D$4*$D$7),-3))+((($D$3*$D$7*$D$8*$M$11)+(ROUND(((((6+(INT(($M$11-3)/2)))*$D$3*$D$7)+((4+(INT(($M$11-3)/2)))*$D$5*$D$7)+((1+(INT(($M$11-3)/2)))*$D$10))+((((2.7*1.6)*$D$3*$D$7)+(2*$D$3*$D$7)+((1.6*$M$11)*$D$4*$D$7)))+($D$9)),-3))+(ROUND(((3.8+(3.8*(INT(($M$11-1)/6))))*$D$3*$D$7)+((ROUNDDOWN(($M$11/4),0)*2)*$D$3*$D$7)+((1+(1*(INT(($M$11-1)/6))))*$D$11)+((ROUNDDOWN(($M$11/4),0))*$D$12),-3)))*$D$13))*(1+(VLOOKUP($G3,$G$3:$H$8,2,FALSE))))*(1+(VLOOKUP($G3,$G$3:$I$8,3,FALSE)))*2,-4)/2</f>
        <v>350000</v>
      </c>
      <c r="N12" s="148">
        <f t="shared" ref="N12:U17" si="4">ROUNDUP(((($D$3*$D$7*$D$8*N$11)+(ROUND(((((6+(INT((N$11-3)/2)))*$D$3*$D$7)+((4+(INT((N$11-3)/2)))*$D$5*$D$7)+((1+(INT((N$11-3)/2)))*$D$10))+((((2.7*(1.8+(N$11-3)*0.6))*$D$3*$D$7)+((2.5+(N$11-3))*$D$3*$D$7)+((1.6*N$11)*$D$4*$D$7)))+($D$9)),-3))+(ROUND(((3.8+(3.8*(INT((N$11-1)/6))))*$D$3*$D$7)+((ROUNDDOWN((N$11/4),0)*2)*$D$3*$D$7)+((1+(1*(INT((N$11-1)/6))))*$D$11)+((ROUNDDOWN((N$11/4),0))*$D$12),-3))+(ROUND(((N$11*12)*$D$6)+((N$11*2)*$D$4*$D$7)+((N$11*1.5)*$D$4*$D$7),-3))+((($D$3*$D$7*$D$8*N$11)+(ROUND(((((6+(INT((N$11-3)/2)))*$D$3*$D$7)+((4+(INT((N$11-3)/2)))*$D$5*$D$7)+((1+(INT((N$11-3)/2)))*$D$10))+((((2.7*(1.8+(N$11-3)*0.6))*$D$3*$D$7)+((2.5+(N$11-3))*$D$3*$D$7)+((1.6*N$11)*$D$4*$D$7)))+($D$9)),-3))+(ROUND(((3.8+(3.8*(INT((N$11-1)/6))))*$D$3*$D$7)+((ROUNDDOWN((N$11/4),0)*2)*$D$3*$D$7)+((1+(1*(INT((N$11-1)/6))))*$D$11)+((ROUNDDOWN((N$11/4),0))*$D$12),-3)))*$D$13))*(1+(VLOOKUP($G3,$G$3:$H$8,2,FALSE))))*(1+(VLOOKUP($G3,$G$3:$I$8,3,FALSE)))*2,-4)/2</f>
        <v>455000</v>
      </c>
      <c r="O12" s="148">
        <f t="shared" si="4"/>
        <v>575000</v>
      </c>
      <c r="P12" s="148">
        <f t="shared" si="4"/>
        <v>690000</v>
      </c>
      <c r="Q12" s="148">
        <f t="shared" si="4"/>
        <v>790000</v>
      </c>
      <c r="R12" s="148">
        <f t="shared" si="4"/>
        <v>955000</v>
      </c>
      <c r="S12" s="148">
        <f t="shared" si="4"/>
        <v>75000</v>
      </c>
      <c r="T12" s="148">
        <f t="shared" si="4"/>
        <v>75000</v>
      </c>
      <c r="U12" s="148">
        <f t="shared" si="4"/>
        <v>75000</v>
      </c>
      <c r="V12" s="153">
        <f>V4</f>
        <v>38000</v>
      </c>
      <c r="W12" s="153">
        <f t="shared" ref="W12:Y12" si="5">W4</f>
        <v>21000</v>
      </c>
      <c r="X12" s="153">
        <f t="shared" si="5"/>
        <v>13000</v>
      </c>
      <c r="Y12" s="154">
        <f t="shared" si="5"/>
        <v>26000</v>
      </c>
    </row>
    <row r="13" spans="1:25" ht="15" customHeight="1" thickBot="1">
      <c r="A13" s="36" t="s">
        <v>49</v>
      </c>
      <c r="B13" s="40" t="s">
        <v>50</v>
      </c>
      <c r="C13" s="288">
        <v>7.0000000000000007E-2</v>
      </c>
      <c r="D13" s="145">
        <v>0.09</v>
      </c>
      <c r="E13" s="145">
        <v>0.09</v>
      </c>
      <c r="F13" s="132" t="s">
        <v>42</v>
      </c>
      <c r="G13" s="128"/>
      <c r="H13" s="129"/>
      <c r="I13" s="39"/>
      <c r="J13" s="129"/>
      <c r="K13" s="139" t="s">
        <v>10</v>
      </c>
      <c r="L13" s="148"/>
      <c r="M13" s="148">
        <f t="shared" si="3"/>
        <v>385000</v>
      </c>
      <c r="N13" s="148">
        <f t="shared" si="4"/>
        <v>500000</v>
      </c>
      <c r="O13" s="148">
        <f t="shared" si="4"/>
        <v>635000</v>
      </c>
      <c r="P13" s="148">
        <f t="shared" si="4"/>
        <v>755000</v>
      </c>
      <c r="Q13" s="148">
        <f t="shared" si="4"/>
        <v>870000</v>
      </c>
      <c r="R13" s="148">
        <f t="shared" si="4"/>
        <v>1050000</v>
      </c>
      <c r="S13" s="148">
        <f t="shared" si="4"/>
        <v>85000</v>
      </c>
      <c r="T13" s="148">
        <f t="shared" si="4"/>
        <v>85000</v>
      </c>
      <c r="U13" s="148">
        <f t="shared" si="4"/>
        <v>85000</v>
      </c>
      <c r="V13" s="153">
        <f t="shared" ref="V13:Y17" si="6">V5</f>
        <v>38000</v>
      </c>
      <c r="W13" s="153">
        <f t="shared" si="6"/>
        <v>21000</v>
      </c>
      <c r="X13" s="153">
        <f t="shared" si="6"/>
        <v>13000</v>
      </c>
      <c r="Y13" s="154">
        <f t="shared" si="6"/>
        <v>26000</v>
      </c>
    </row>
    <row r="14" spans="1:25" ht="19.5" customHeight="1">
      <c r="A14" s="329" t="s">
        <v>388</v>
      </c>
      <c r="B14" s="330"/>
      <c r="C14" s="330"/>
      <c r="D14" s="330"/>
      <c r="E14" s="330"/>
      <c r="F14" s="330"/>
      <c r="G14" s="330"/>
      <c r="H14" s="330"/>
      <c r="I14" s="330"/>
      <c r="J14" s="331"/>
      <c r="K14" s="139" t="s">
        <v>9</v>
      </c>
      <c r="L14" s="148"/>
      <c r="M14" s="148">
        <f t="shared" si="3"/>
        <v>410000</v>
      </c>
      <c r="N14" s="148">
        <f t="shared" si="4"/>
        <v>535000</v>
      </c>
      <c r="O14" s="148">
        <f t="shared" si="4"/>
        <v>675000</v>
      </c>
      <c r="P14" s="148">
        <f t="shared" si="4"/>
        <v>805000</v>
      </c>
      <c r="Q14" s="148">
        <f t="shared" si="4"/>
        <v>925000</v>
      </c>
      <c r="R14" s="148">
        <f t="shared" si="4"/>
        <v>1120000</v>
      </c>
      <c r="S14" s="148">
        <f t="shared" si="4"/>
        <v>90000</v>
      </c>
      <c r="T14" s="148">
        <f t="shared" si="4"/>
        <v>90000</v>
      </c>
      <c r="U14" s="148">
        <f t="shared" si="4"/>
        <v>90000</v>
      </c>
      <c r="V14" s="153">
        <f t="shared" si="6"/>
        <v>43000</v>
      </c>
      <c r="W14" s="153">
        <f t="shared" si="6"/>
        <v>23000</v>
      </c>
      <c r="X14" s="153">
        <f t="shared" si="6"/>
        <v>14000</v>
      </c>
      <c r="Y14" s="154">
        <f t="shared" si="6"/>
        <v>27000</v>
      </c>
    </row>
    <row r="15" spans="1:25" ht="14.25" customHeight="1">
      <c r="A15" s="92"/>
      <c r="B15" s="28"/>
      <c r="D15"/>
      <c r="E15"/>
      <c r="F15" s="22"/>
      <c r="G15" s="22"/>
      <c r="H15" s="328" t="s">
        <v>68</v>
      </c>
      <c r="I15" s="143" t="s">
        <v>67</v>
      </c>
      <c r="J15" s="144" t="s">
        <v>66</v>
      </c>
      <c r="K15" s="140" t="s">
        <v>8</v>
      </c>
      <c r="L15" s="148"/>
      <c r="M15" s="148">
        <f t="shared" si="3"/>
        <v>440000</v>
      </c>
      <c r="N15" s="148">
        <f t="shared" si="4"/>
        <v>570000</v>
      </c>
      <c r="O15" s="148">
        <f t="shared" si="4"/>
        <v>720000</v>
      </c>
      <c r="P15" s="148">
        <f t="shared" si="4"/>
        <v>860000</v>
      </c>
      <c r="Q15" s="148">
        <f t="shared" si="4"/>
        <v>990000</v>
      </c>
      <c r="R15" s="148">
        <f t="shared" si="4"/>
        <v>1195000</v>
      </c>
      <c r="S15" s="148">
        <f t="shared" si="4"/>
        <v>95000</v>
      </c>
      <c r="T15" s="148">
        <f t="shared" si="4"/>
        <v>95000</v>
      </c>
      <c r="U15" s="148">
        <f t="shared" si="4"/>
        <v>95000</v>
      </c>
      <c r="V15" s="153">
        <f t="shared" si="6"/>
        <v>43000</v>
      </c>
      <c r="W15" s="153">
        <f t="shared" si="6"/>
        <v>23000</v>
      </c>
      <c r="X15" s="153">
        <f t="shared" si="6"/>
        <v>14000</v>
      </c>
      <c r="Y15" s="154">
        <f t="shared" si="6"/>
        <v>27000</v>
      </c>
    </row>
    <row r="16" spans="1:25" ht="15" customHeight="1">
      <c r="A16" s="92"/>
      <c r="B16" s="28"/>
      <c r="F16" s="103"/>
      <c r="G16" s="103"/>
      <c r="H16" s="328"/>
      <c r="I16" s="143"/>
      <c r="J16" s="144"/>
      <c r="K16" s="140" t="s">
        <v>6</v>
      </c>
      <c r="L16" s="148"/>
      <c r="M16" s="148">
        <f t="shared" si="3"/>
        <v>505000</v>
      </c>
      <c r="N16" s="148">
        <f t="shared" si="4"/>
        <v>655000</v>
      </c>
      <c r="O16" s="148">
        <f t="shared" si="4"/>
        <v>830000</v>
      </c>
      <c r="P16" s="148">
        <f t="shared" si="4"/>
        <v>990000</v>
      </c>
      <c r="Q16" s="148">
        <f t="shared" si="4"/>
        <v>1140000</v>
      </c>
      <c r="R16" s="148">
        <f t="shared" si="4"/>
        <v>1380000</v>
      </c>
      <c r="S16" s="148">
        <f t="shared" si="4"/>
        <v>110000</v>
      </c>
      <c r="T16" s="148">
        <f t="shared" si="4"/>
        <v>110000</v>
      </c>
      <c r="U16" s="148">
        <f t="shared" si="4"/>
        <v>110000</v>
      </c>
      <c r="V16" s="153">
        <f t="shared" si="6"/>
        <v>47000</v>
      </c>
      <c r="W16" s="153">
        <f t="shared" si="6"/>
        <v>25000</v>
      </c>
      <c r="X16" s="153">
        <f t="shared" si="6"/>
        <v>15000</v>
      </c>
      <c r="Y16" s="154">
        <f t="shared" si="6"/>
        <v>29000</v>
      </c>
    </row>
    <row r="17" spans="1:25" ht="15" thickBot="1">
      <c r="A17" s="325" t="s">
        <v>385</v>
      </c>
      <c r="B17" s="326"/>
      <c r="C17" s="326"/>
      <c r="D17" s="326"/>
      <c r="E17" s="326"/>
      <c r="F17" s="326"/>
      <c r="G17" s="326"/>
      <c r="H17" s="326"/>
      <c r="I17" s="326"/>
      <c r="J17" s="327"/>
      <c r="K17" s="141" t="s">
        <v>7</v>
      </c>
      <c r="L17" s="155"/>
      <c r="M17" s="155">
        <f t="shared" si="3"/>
        <v>575000</v>
      </c>
      <c r="N17" s="155">
        <f t="shared" si="4"/>
        <v>750000</v>
      </c>
      <c r="O17" s="155">
        <f t="shared" si="4"/>
        <v>950000</v>
      </c>
      <c r="P17" s="155">
        <f t="shared" si="4"/>
        <v>1130000</v>
      </c>
      <c r="Q17" s="155">
        <f t="shared" si="4"/>
        <v>1300000</v>
      </c>
      <c r="R17" s="155">
        <f t="shared" si="4"/>
        <v>1575000</v>
      </c>
      <c r="S17" s="155">
        <f t="shared" si="4"/>
        <v>125000</v>
      </c>
      <c r="T17" s="155">
        <f t="shared" si="4"/>
        <v>125000</v>
      </c>
      <c r="U17" s="155">
        <f t="shared" si="4"/>
        <v>125000</v>
      </c>
      <c r="V17" s="156">
        <f t="shared" si="6"/>
        <v>47000</v>
      </c>
      <c r="W17" s="156">
        <f t="shared" si="6"/>
        <v>25000</v>
      </c>
      <c r="X17" s="156">
        <f t="shared" si="6"/>
        <v>15000</v>
      </c>
      <c r="Y17" s="157">
        <f t="shared" si="6"/>
        <v>29000</v>
      </c>
    </row>
    <row r="18" spans="1:25">
      <c r="A18" s="93" t="s">
        <v>64</v>
      </c>
      <c r="B18" s="90"/>
      <c r="C18" s="90"/>
      <c r="D18" s="90"/>
      <c r="E18" s="146">
        <f>'Logements locatifs'!C35</f>
        <v>0</v>
      </c>
      <c r="F18" s="9" t="s">
        <v>1</v>
      </c>
      <c r="G18" s="76" t="e">
        <f>H18*(1+I18+J18)</f>
        <v>#N/A</v>
      </c>
      <c r="H18" s="28">
        <f>(E18)*($C$7*1.1)*$C$3</f>
        <v>0</v>
      </c>
      <c r="I18" s="91" t="e">
        <f>VLOOKUP('Logements locatifs'!$C$6,$G$3:$I$8,2,FALSE)</f>
        <v>#N/A</v>
      </c>
      <c r="J18" s="94" t="e">
        <f>VLOOKUP('Logements locatifs'!$C$6,'AKL 2025'!$G$3:$I$8,3,FALSE)</f>
        <v>#N/A</v>
      </c>
      <c r="K18" s="133"/>
      <c r="L18" s="323" t="s">
        <v>384</v>
      </c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4"/>
    </row>
    <row r="19" spans="1:25" ht="15" customHeight="1">
      <c r="A19" s="93" t="s">
        <v>65</v>
      </c>
      <c r="B19" s="90"/>
      <c r="C19" s="90"/>
      <c r="D19" s="90"/>
      <c r="E19" s="146">
        <f>'Logements locatifs'!C36</f>
        <v>0</v>
      </c>
      <c r="F19" s="9" t="s">
        <v>1</v>
      </c>
      <c r="G19" s="76" t="e">
        <f>H19*(1+I19+J19)</f>
        <v>#N/A</v>
      </c>
      <c r="H19" s="28">
        <f>E19*$C$7*$C$3</f>
        <v>0</v>
      </c>
      <c r="I19" s="91" t="e">
        <f>VLOOKUP('Logements locatifs'!$C$6,$G$3:$I$8,2,FALSE)</f>
        <v>#N/A</v>
      </c>
      <c r="J19" s="94" t="e">
        <f>VLOOKUP('Logements locatifs'!$C$6,'AKL 2025'!$G$3:$I$8,3,FALSE)</f>
        <v>#N/A</v>
      </c>
      <c r="K19" s="137"/>
      <c r="L19" s="294"/>
      <c r="M19" s="294"/>
      <c r="N19" s="295">
        <v>3</v>
      </c>
      <c r="O19" s="295">
        <v>4</v>
      </c>
      <c r="P19" s="295">
        <v>5</v>
      </c>
      <c r="Q19" s="295">
        <v>6</v>
      </c>
      <c r="R19" s="295">
        <v>7</v>
      </c>
      <c r="S19" s="295">
        <f>'Maison indiv. - en rangée'!A30</f>
        <v>0</v>
      </c>
      <c r="T19" s="295">
        <f>'Maison indiv. - en rangée'!A31</f>
        <v>0</v>
      </c>
      <c r="U19" s="295">
        <f>'Maison indiv. - en rangée'!A32</f>
        <v>0</v>
      </c>
      <c r="V19" s="151" t="s">
        <v>13</v>
      </c>
      <c r="W19" s="151" t="s">
        <v>14</v>
      </c>
      <c r="X19" s="151" t="s">
        <v>15</v>
      </c>
      <c r="Y19" s="152" t="s">
        <v>0</v>
      </c>
    </row>
    <row r="20" spans="1:25">
      <c r="A20" s="325" t="s">
        <v>4</v>
      </c>
      <c r="B20" s="326"/>
      <c r="C20" s="326"/>
      <c r="D20" s="326"/>
      <c r="E20" s="326"/>
      <c r="F20" s="326"/>
      <c r="G20" s="326"/>
      <c r="H20" s="326"/>
      <c r="I20" s="326"/>
      <c r="J20" s="327"/>
      <c r="K20" s="138" t="s">
        <v>11</v>
      </c>
      <c r="L20" s="148"/>
      <c r="M20" s="148"/>
      <c r="N20" s="148">
        <f t="shared" ref="N20:U25" si="7">ROUNDUP(((($E$3*$E$7*$E$8*N$19)+(ROUND(((((6+(INT((N$19-3)/2)))*$E$3*$E$7)+((4+(INT((N$19-3)/2)))*$E$5*$E$7)+((1+(INT((N$19-3)/2)))*$E$10))+((((2.7*(1.8+(N$19-3)*0.6))*$E$3*$E$7)+((2.5+(N$19-3))*$E$3*$E$7)+((1.6*N$19)*$E$4*$E$7)))+($E$9)),-3))+(ROUND(((3.8+(3.8*(INT((N$19-1)/6))))*$E$3*$E$7)+((ROUNDDOWN((N$19/4),0)*2)*$E$3*$E$7)+((1+(1*(INT((N$19-1)/6))))*$E$11)+((ROUNDDOWN((N$19/4),0))*$E$12),-3))+(ROUND(((N$19*12)*$E$6)+((N$19*2)*$E$4*$E$7)+((N$19*1.5)*$E$4*$E$7),-3))+((($E$3*$E$7*$E$8*N$19)+(ROUND(((((6+(INT((N$19-3)/2)))*$E$3*$E$7)+((4+(INT((N$19-3)/2)))*$E$5*$E$7)+((1+(INT((N$19-3)/2)))*$E$10))+((((2.7*(1.8+(N$19-3)*0.6))*$E$3*$E$7)+((2.5+(N$19-3))*$E$3*$E$7)+((1.6*N$19)*$E$4*$E$7)))+($E$9)),-3))+(ROUND(((3.8+(3.8*(INT((N$19-1)/6))))*$E$3*$E$7)+((ROUNDDOWN((N$19/4),0)*2)*$E$3*$E$7)+((1+(1*(INT((N$19-1)/6))))*$E$11)+((ROUNDDOWN((N$19/4),0))*$E$12),-3)))*$E$13))*(1+(VLOOKUP($G3,$G$3:$H$8,2,FALSE))))*(1+(VLOOKUP($G3,$G$3:$J$8,4,FALSE)))*2,-4)/2</f>
        <v>650000</v>
      </c>
      <c r="O20" s="148">
        <f t="shared" si="7"/>
        <v>815000</v>
      </c>
      <c r="P20" s="148">
        <f t="shared" si="7"/>
        <v>980000</v>
      </c>
      <c r="Q20" s="148">
        <f t="shared" si="7"/>
        <v>1130000</v>
      </c>
      <c r="R20" s="148">
        <f t="shared" si="7"/>
        <v>1360000</v>
      </c>
      <c r="S20" s="148">
        <f t="shared" si="7"/>
        <v>105000</v>
      </c>
      <c r="T20" s="148">
        <f t="shared" si="7"/>
        <v>105000</v>
      </c>
      <c r="U20" s="148">
        <f t="shared" si="7"/>
        <v>105000</v>
      </c>
      <c r="V20" s="153">
        <f>V4</f>
        <v>38000</v>
      </c>
      <c r="W20" s="153">
        <f t="shared" ref="W20:Y20" si="8">W4</f>
        <v>21000</v>
      </c>
      <c r="X20" s="153">
        <f t="shared" si="8"/>
        <v>13000</v>
      </c>
      <c r="Y20" s="154">
        <f t="shared" si="8"/>
        <v>26000</v>
      </c>
    </row>
    <row r="21" spans="1:25">
      <c r="A21" s="93" t="s">
        <v>64</v>
      </c>
      <c r="B21" s="90"/>
      <c r="C21" s="90"/>
      <c r="D21" s="90"/>
      <c r="E21" s="146" t="e">
        <f>PPE!#REF!</f>
        <v>#REF!</v>
      </c>
      <c r="F21" s="9" t="s">
        <v>1</v>
      </c>
      <c r="G21" s="76" t="e">
        <f>H21*(1+I21+J21)</f>
        <v>#REF!</v>
      </c>
      <c r="H21" s="28" t="e">
        <f>(E21)*($D$7*1.1)*$D$3</f>
        <v>#REF!</v>
      </c>
      <c r="I21" s="91" t="e">
        <f>VLOOKUP(PPE!$C$6,$G$3:$I$8,2,FALSE)</f>
        <v>#N/A</v>
      </c>
      <c r="J21" s="94" t="e">
        <f>VLOOKUP(PPE!$C$6,$G$3:$I$8,3,FALSE)</f>
        <v>#N/A</v>
      </c>
      <c r="K21" s="139" t="s">
        <v>10</v>
      </c>
      <c r="L21" s="52"/>
      <c r="M21" s="52"/>
      <c r="N21" s="148">
        <f t="shared" si="7"/>
        <v>685000</v>
      </c>
      <c r="O21" s="148">
        <f t="shared" si="7"/>
        <v>860000</v>
      </c>
      <c r="P21" s="148">
        <f t="shared" si="7"/>
        <v>1030000</v>
      </c>
      <c r="Q21" s="148">
        <f t="shared" si="7"/>
        <v>1190000</v>
      </c>
      <c r="R21" s="148">
        <f t="shared" si="7"/>
        <v>1435000</v>
      </c>
      <c r="S21" s="148">
        <f t="shared" si="7"/>
        <v>110000</v>
      </c>
      <c r="T21" s="148">
        <f t="shared" si="7"/>
        <v>110000</v>
      </c>
      <c r="U21" s="148">
        <f t="shared" si="7"/>
        <v>110000</v>
      </c>
      <c r="V21" s="153">
        <f t="shared" ref="V21:Y25" si="9">V5</f>
        <v>38000</v>
      </c>
      <c r="W21" s="153">
        <f t="shared" si="9"/>
        <v>21000</v>
      </c>
      <c r="X21" s="153">
        <f t="shared" si="9"/>
        <v>13000</v>
      </c>
      <c r="Y21" s="154">
        <f t="shared" si="9"/>
        <v>26000</v>
      </c>
    </row>
    <row r="22" spans="1:25">
      <c r="A22" s="93" t="s">
        <v>65</v>
      </c>
      <c r="B22" s="90"/>
      <c r="C22" s="90"/>
      <c r="D22" s="90"/>
      <c r="E22" s="146" t="e">
        <f>PPE!#REF!</f>
        <v>#REF!</v>
      </c>
      <c r="F22" s="9" t="s">
        <v>1</v>
      </c>
      <c r="G22" s="76" t="e">
        <f>H22*(1+I22+J22)</f>
        <v>#REF!</v>
      </c>
      <c r="H22" s="28" t="e">
        <f>E22*$D$7*$D$3</f>
        <v>#REF!</v>
      </c>
      <c r="I22" s="91" t="e">
        <f>VLOOKUP(PPE!$C$6,$G$3:$I$8,2,FALSE)</f>
        <v>#N/A</v>
      </c>
      <c r="J22" s="94" t="e">
        <f>VLOOKUP(PPE!$C$6,$G$3:$I$8,3,FALSE)</f>
        <v>#N/A</v>
      </c>
      <c r="K22" s="139" t="s">
        <v>9</v>
      </c>
      <c r="L22" s="52"/>
      <c r="M22" s="52"/>
      <c r="N22" s="148">
        <f t="shared" si="7"/>
        <v>720000</v>
      </c>
      <c r="O22" s="148">
        <f t="shared" si="7"/>
        <v>905000</v>
      </c>
      <c r="P22" s="148">
        <f t="shared" si="7"/>
        <v>1085000</v>
      </c>
      <c r="Q22" s="148">
        <f t="shared" si="7"/>
        <v>1250000</v>
      </c>
      <c r="R22" s="148">
        <f t="shared" si="7"/>
        <v>1505000</v>
      </c>
      <c r="S22" s="148">
        <f t="shared" si="7"/>
        <v>115000</v>
      </c>
      <c r="T22" s="148">
        <f t="shared" si="7"/>
        <v>115000</v>
      </c>
      <c r="U22" s="148">
        <f t="shared" si="7"/>
        <v>115000</v>
      </c>
      <c r="V22" s="153">
        <f t="shared" si="9"/>
        <v>43000</v>
      </c>
      <c r="W22" s="153">
        <f t="shared" si="9"/>
        <v>23000</v>
      </c>
      <c r="X22" s="153">
        <f t="shared" si="9"/>
        <v>14000</v>
      </c>
      <c r="Y22" s="154">
        <f t="shared" si="9"/>
        <v>27000</v>
      </c>
    </row>
    <row r="23" spans="1:25">
      <c r="A23" s="325" t="s">
        <v>384</v>
      </c>
      <c r="B23" s="326"/>
      <c r="C23" s="326"/>
      <c r="D23" s="326"/>
      <c r="E23" s="326"/>
      <c r="F23" s="326"/>
      <c r="G23" s="326"/>
      <c r="H23" s="326"/>
      <c r="I23" s="326"/>
      <c r="J23" s="327"/>
      <c r="K23" s="140" t="s">
        <v>8</v>
      </c>
      <c r="L23" s="52"/>
      <c r="M23" s="52"/>
      <c r="N23" s="148">
        <f t="shared" si="7"/>
        <v>765000</v>
      </c>
      <c r="O23" s="148">
        <f t="shared" si="7"/>
        <v>965000</v>
      </c>
      <c r="P23" s="148">
        <f t="shared" si="7"/>
        <v>1155000</v>
      </c>
      <c r="Q23" s="148">
        <f t="shared" si="7"/>
        <v>1330000</v>
      </c>
      <c r="R23" s="148">
        <f t="shared" si="7"/>
        <v>1605000</v>
      </c>
      <c r="S23" s="148">
        <f t="shared" si="7"/>
        <v>125000</v>
      </c>
      <c r="T23" s="148">
        <f t="shared" si="7"/>
        <v>125000</v>
      </c>
      <c r="U23" s="148">
        <f t="shared" si="7"/>
        <v>125000</v>
      </c>
      <c r="V23" s="153">
        <f t="shared" si="9"/>
        <v>43000</v>
      </c>
      <c r="W23" s="153">
        <f t="shared" si="9"/>
        <v>23000</v>
      </c>
      <c r="X23" s="153">
        <f t="shared" si="9"/>
        <v>14000</v>
      </c>
      <c r="Y23" s="154">
        <f t="shared" si="9"/>
        <v>27000</v>
      </c>
    </row>
    <row r="24" spans="1:25">
      <c r="A24" s="93" t="s">
        <v>64</v>
      </c>
      <c r="B24" s="90"/>
      <c r="C24" s="90"/>
      <c r="D24" s="90"/>
      <c r="E24" s="146" t="e">
        <f>'Maison indiv. - en rangée'!#REF!</f>
        <v>#REF!</v>
      </c>
      <c r="F24" s="9" t="s">
        <v>1</v>
      </c>
      <c r="G24" s="76" t="e">
        <f>H24*(1+I24+J24)</f>
        <v>#REF!</v>
      </c>
      <c r="H24" s="28" t="e">
        <f>(E24)*($E$7*1.1)*$E$3</f>
        <v>#REF!</v>
      </c>
      <c r="I24" s="91" t="e">
        <f>VLOOKUP('Maison indiv. - en rangée'!$C$6,$G$3:$J$8,2,FALSE)</f>
        <v>#N/A</v>
      </c>
      <c r="J24" s="94" t="e">
        <f>VLOOKUP('Maison indiv. - en rangée'!$C$6,$G$3:$J$8,4,FALSE)</f>
        <v>#N/A</v>
      </c>
      <c r="K24" s="140" t="s">
        <v>6</v>
      </c>
      <c r="L24" s="52"/>
      <c r="M24" s="52"/>
      <c r="N24" s="148">
        <f t="shared" si="7"/>
        <v>835000</v>
      </c>
      <c r="O24" s="148">
        <f t="shared" si="7"/>
        <v>1050000</v>
      </c>
      <c r="P24" s="148">
        <f t="shared" si="7"/>
        <v>1255000</v>
      </c>
      <c r="Q24" s="148">
        <f t="shared" si="7"/>
        <v>1450000</v>
      </c>
      <c r="R24" s="148">
        <f t="shared" si="7"/>
        <v>1750000</v>
      </c>
      <c r="S24" s="148">
        <f t="shared" si="7"/>
        <v>135000</v>
      </c>
      <c r="T24" s="148">
        <f t="shared" si="7"/>
        <v>135000</v>
      </c>
      <c r="U24" s="148">
        <f t="shared" si="7"/>
        <v>135000</v>
      </c>
      <c r="V24" s="153">
        <f t="shared" si="9"/>
        <v>47000</v>
      </c>
      <c r="W24" s="153">
        <f t="shared" si="9"/>
        <v>25000</v>
      </c>
      <c r="X24" s="153">
        <f t="shared" si="9"/>
        <v>15000</v>
      </c>
      <c r="Y24" s="154">
        <f t="shared" si="9"/>
        <v>29000</v>
      </c>
    </row>
    <row r="25" spans="1:25" ht="15" thickBot="1">
      <c r="A25" s="95" t="s">
        <v>65</v>
      </c>
      <c r="B25" s="96"/>
      <c r="C25" s="96"/>
      <c r="D25" s="96"/>
      <c r="E25" s="147" t="e">
        <f>'Maison indiv. - en rangée'!#REF!</f>
        <v>#REF!</v>
      </c>
      <c r="F25" s="97" t="s">
        <v>1</v>
      </c>
      <c r="G25" s="98" t="e">
        <f>H25*(1+I25+J25)</f>
        <v>#REF!</v>
      </c>
      <c r="H25" s="99" t="e">
        <f>E25*$D$7*$D$3</f>
        <v>#REF!</v>
      </c>
      <c r="I25" s="100" t="e">
        <f>VLOOKUP('Maison indiv. - en rangée'!$C$6,$G$3:$J$8,2,FALSE)</f>
        <v>#N/A</v>
      </c>
      <c r="J25" s="101" t="e">
        <f>VLOOKUP('Maison indiv. - en rangée'!$C$6,$G$3:$J$8,4,FALSE)</f>
        <v>#N/A</v>
      </c>
      <c r="K25" s="141" t="s">
        <v>7</v>
      </c>
      <c r="L25" s="134"/>
      <c r="M25" s="134"/>
      <c r="N25" s="155">
        <f t="shared" si="7"/>
        <v>955000</v>
      </c>
      <c r="O25" s="155">
        <f t="shared" si="7"/>
        <v>1205000</v>
      </c>
      <c r="P25" s="155">
        <f t="shared" si="7"/>
        <v>1440000</v>
      </c>
      <c r="Q25" s="155">
        <f t="shared" si="7"/>
        <v>1660000</v>
      </c>
      <c r="R25" s="155">
        <f t="shared" si="7"/>
        <v>2005000</v>
      </c>
      <c r="S25" s="155">
        <f t="shared" si="7"/>
        <v>155000</v>
      </c>
      <c r="T25" s="155">
        <f t="shared" si="7"/>
        <v>155000</v>
      </c>
      <c r="U25" s="155">
        <f t="shared" si="7"/>
        <v>155000</v>
      </c>
      <c r="V25" s="156">
        <f t="shared" si="9"/>
        <v>47000</v>
      </c>
      <c r="W25" s="156">
        <f t="shared" si="9"/>
        <v>25000</v>
      </c>
      <c r="X25" s="156">
        <f t="shared" si="9"/>
        <v>15000</v>
      </c>
      <c r="Y25" s="157">
        <f t="shared" si="9"/>
        <v>29000</v>
      </c>
    </row>
  </sheetData>
  <mergeCells count="11">
    <mergeCell ref="K1:Y1"/>
    <mergeCell ref="L18:Y18"/>
    <mergeCell ref="A20:J20"/>
    <mergeCell ref="A23:J23"/>
    <mergeCell ref="H15:H16"/>
    <mergeCell ref="A17:J17"/>
    <mergeCell ref="A14:J14"/>
    <mergeCell ref="L2:Y2"/>
    <mergeCell ref="L10:Y10"/>
    <mergeCell ref="I1:J1"/>
    <mergeCell ref="A1:F1"/>
  </mergeCells>
  <pageMargins left="0.7" right="0.7" top="0.78740157499999996" bottom="0.78740157499999996" header="0.3" footer="0.3"/>
  <pageSetup paperSize="9" scale="4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9"/>
  </sheetPr>
  <dimension ref="A1:ED2278"/>
  <sheetViews>
    <sheetView zoomScaleNormal="100" workbookViewId="0">
      <selection activeCell="K36" sqref="K36"/>
    </sheetView>
  </sheetViews>
  <sheetFormatPr baseColWidth="10" defaultRowHeight="14.25"/>
  <cols>
    <col min="1" max="1" width="29.375" bestFit="1" customWidth="1"/>
    <col min="2" max="2" width="8.25" customWidth="1"/>
    <col min="3" max="3" width="7.625" customWidth="1"/>
    <col min="4" max="4" width="8.375" bestFit="1" customWidth="1"/>
    <col min="5" max="5" width="6.5" bestFit="1" customWidth="1"/>
    <col min="6" max="6" width="10.625" customWidth="1"/>
  </cols>
  <sheetData>
    <row r="1" spans="1:9" ht="15">
      <c r="A1" s="118" t="s">
        <v>59</v>
      </c>
      <c r="B1" s="118" t="s">
        <v>2</v>
      </c>
      <c r="C1" s="119" t="s">
        <v>3</v>
      </c>
      <c r="D1" s="119" t="s">
        <v>4</v>
      </c>
      <c r="E1" s="120" t="s">
        <v>5</v>
      </c>
      <c r="G1" s="117" t="s">
        <v>383</v>
      </c>
    </row>
    <row r="2" spans="1:9">
      <c r="A2" t="s">
        <v>204</v>
      </c>
      <c r="B2" t="s">
        <v>12</v>
      </c>
      <c r="C2" s="285" t="s">
        <v>6</v>
      </c>
      <c r="D2" s="286" t="s">
        <v>6</v>
      </c>
      <c r="E2" s="287" t="s">
        <v>8</v>
      </c>
      <c r="G2" t="str" cm="1">
        <f t="array" ref="G2:G301">_xlfn._xlws.FILTER(A2:A301,ISNUMBER(SEARCH('Logements locatifs'!C5,'Kostenstufen 2025'!A2:A301)),"Nicht gefunden")</f>
        <v>Aclens</v>
      </c>
      <c r="H2" t="str" cm="1">
        <f t="array" ref="H2:H301">_xlfn._xlws.FILTER(A2:A301,ISNUMBER(SEARCH(PPE!C5,'Kostenstufen 2025'!A2:A301)),"Nicht gefunden")</f>
        <v>Aclens</v>
      </c>
      <c r="I2" t="str" cm="1">
        <f t="array" ref="I2:I301">_xlfn._xlws.FILTER(A2:A301,ISNUMBER(SEARCH('Maison indiv. - en rangée'!C5,'Kostenstufen 2025'!A2:A301)),"Nicht gefunden")</f>
        <v>Aclens</v>
      </c>
    </row>
    <row r="3" spans="1:9">
      <c r="A3" t="s">
        <v>283</v>
      </c>
      <c r="B3" t="s">
        <v>12</v>
      </c>
      <c r="C3" s="285" t="s">
        <v>8</v>
      </c>
      <c r="D3" s="286" t="s">
        <v>9</v>
      </c>
      <c r="E3" s="287" t="s">
        <v>9</v>
      </c>
      <c r="G3" t="str">
        <v>Agiez</v>
      </c>
      <c r="H3" t="str">
        <v>Agiez</v>
      </c>
      <c r="I3" t="str">
        <v>Agiez</v>
      </c>
    </row>
    <row r="4" spans="1:9">
      <c r="A4" t="s">
        <v>84</v>
      </c>
      <c r="B4" t="s">
        <v>12</v>
      </c>
      <c r="C4" s="285" t="s">
        <v>6</v>
      </c>
      <c r="D4" s="286" t="s">
        <v>8</v>
      </c>
      <c r="E4" s="287" t="s">
        <v>8</v>
      </c>
      <c r="G4" t="str">
        <v>Aigle</v>
      </c>
      <c r="H4" t="str">
        <v>Aigle</v>
      </c>
      <c r="I4" t="str">
        <v>Aigle</v>
      </c>
    </row>
    <row r="5" spans="1:9">
      <c r="A5" t="s">
        <v>329</v>
      </c>
      <c r="B5" t="s">
        <v>12</v>
      </c>
      <c r="C5" s="285" t="s">
        <v>6</v>
      </c>
      <c r="D5" s="286" t="s">
        <v>8</v>
      </c>
      <c r="E5" s="287" t="s">
        <v>8</v>
      </c>
      <c r="G5" t="str">
        <v>Allaman</v>
      </c>
      <c r="H5" t="str">
        <v>Allaman</v>
      </c>
      <c r="I5" t="str">
        <v>Allaman</v>
      </c>
    </row>
    <row r="6" spans="1:9">
      <c r="A6" t="s">
        <v>250</v>
      </c>
      <c r="B6" t="s">
        <v>12</v>
      </c>
      <c r="C6" s="285" t="s">
        <v>6</v>
      </c>
      <c r="D6" s="286" t="s">
        <v>6</v>
      </c>
      <c r="E6" s="287" t="s">
        <v>8</v>
      </c>
      <c r="G6" t="str">
        <v>Arnex-sur-Nyon</v>
      </c>
      <c r="H6" t="str">
        <v>Arnex-sur-Nyon</v>
      </c>
      <c r="I6" t="str">
        <v>Arnex-sur-Nyon</v>
      </c>
    </row>
    <row r="7" spans="1:9">
      <c r="A7" t="s">
        <v>284</v>
      </c>
      <c r="B7" t="s">
        <v>12</v>
      </c>
      <c r="C7" s="285" t="s">
        <v>8</v>
      </c>
      <c r="D7" s="286" t="s">
        <v>9</v>
      </c>
      <c r="E7" s="287" t="s">
        <v>9</v>
      </c>
      <c r="G7" t="str">
        <v>Arnex-sur-Orbe</v>
      </c>
      <c r="H7" t="str">
        <v>Arnex-sur-Orbe</v>
      </c>
      <c r="I7" t="str">
        <v>Arnex-sur-Orbe</v>
      </c>
    </row>
    <row r="8" spans="1:9">
      <c r="A8" t="s">
        <v>251</v>
      </c>
      <c r="B8" t="s">
        <v>12</v>
      </c>
      <c r="C8" s="285" t="s">
        <v>6</v>
      </c>
      <c r="D8" s="286" t="s">
        <v>6</v>
      </c>
      <c r="E8" s="287" t="s">
        <v>6</v>
      </c>
      <c r="G8" t="str">
        <v>Arzier-Le Muids</v>
      </c>
      <c r="H8" t="str">
        <v>Arzier-Le Muids</v>
      </c>
      <c r="I8" t="str">
        <v>Arzier-Le Muids</v>
      </c>
    </row>
    <row r="9" spans="1:9">
      <c r="A9" t="s">
        <v>146</v>
      </c>
      <c r="B9" t="s">
        <v>12</v>
      </c>
      <c r="C9" s="285" t="s">
        <v>6</v>
      </c>
      <c r="D9" s="286" t="s">
        <v>6</v>
      </c>
      <c r="E9" s="287" t="s">
        <v>6</v>
      </c>
      <c r="G9" t="str">
        <v>Assens</v>
      </c>
      <c r="H9" t="str">
        <v>Assens</v>
      </c>
      <c r="I9" t="str">
        <v>Assens</v>
      </c>
    </row>
    <row r="10" spans="1:9">
      <c r="A10" t="s">
        <v>99</v>
      </c>
      <c r="B10" t="s">
        <v>12</v>
      </c>
      <c r="C10" s="285" t="s">
        <v>6</v>
      </c>
      <c r="D10" s="286" t="s">
        <v>8</v>
      </c>
      <c r="E10" s="287" t="s">
        <v>8</v>
      </c>
      <c r="G10" t="str">
        <v>Aubonne</v>
      </c>
      <c r="H10" t="str">
        <v>Aubonne</v>
      </c>
      <c r="I10" t="str">
        <v>Aubonne</v>
      </c>
    </row>
    <row r="11" spans="1:9">
      <c r="A11" t="s">
        <v>113</v>
      </c>
      <c r="B11" t="s">
        <v>12</v>
      </c>
      <c r="C11" s="285" t="s">
        <v>8</v>
      </c>
      <c r="D11" s="286" t="s">
        <v>9</v>
      </c>
      <c r="E11" s="287" t="s">
        <v>9</v>
      </c>
      <c r="G11" t="str">
        <v>Avenches</v>
      </c>
      <c r="H11" t="str">
        <v>Avenches</v>
      </c>
      <c r="I11" t="str">
        <v>Avenches</v>
      </c>
    </row>
    <row r="12" spans="1:9">
      <c r="A12" t="s">
        <v>285</v>
      </c>
      <c r="B12" t="s">
        <v>12</v>
      </c>
      <c r="C12" s="285" t="s">
        <v>9</v>
      </c>
      <c r="D12" s="286" t="s">
        <v>10</v>
      </c>
      <c r="E12" s="287" t="s">
        <v>10</v>
      </c>
      <c r="G12" t="str">
        <v>Ballaigues</v>
      </c>
      <c r="H12" t="str">
        <v>Ballaigues</v>
      </c>
      <c r="I12" t="str">
        <v>Ballaigues</v>
      </c>
    </row>
    <row r="13" spans="1:9">
      <c r="A13" t="s">
        <v>100</v>
      </c>
      <c r="B13" t="s">
        <v>12</v>
      </c>
      <c r="C13" s="285" t="s">
        <v>8</v>
      </c>
      <c r="D13" s="286" t="s">
        <v>9</v>
      </c>
      <c r="E13" s="287" t="s">
        <v>9</v>
      </c>
      <c r="G13" t="str">
        <v>Ballens</v>
      </c>
      <c r="H13" t="str">
        <v>Ballens</v>
      </c>
      <c r="I13" t="str">
        <v>Ballens</v>
      </c>
    </row>
    <row r="14" spans="1:9">
      <c r="A14" t="s">
        <v>252</v>
      </c>
      <c r="B14" t="s">
        <v>12</v>
      </c>
      <c r="C14" s="285" t="s">
        <v>8</v>
      </c>
      <c r="D14" s="286" t="s">
        <v>8</v>
      </c>
      <c r="E14" s="287" t="s">
        <v>8</v>
      </c>
      <c r="G14" t="str">
        <v>Bassins</v>
      </c>
      <c r="H14" t="str">
        <v>Bassins</v>
      </c>
      <c r="I14" t="str">
        <v>Bassins</v>
      </c>
    </row>
    <row r="15" spans="1:9">
      <c r="A15" t="s">
        <v>286</v>
      </c>
      <c r="B15" t="s">
        <v>12</v>
      </c>
      <c r="C15" s="285" t="s">
        <v>9</v>
      </c>
      <c r="D15" s="286" t="s">
        <v>9</v>
      </c>
      <c r="E15" s="287" t="s">
        <v>10</v>
      </c>
      <c r="G15" t="str">
        <v>Baulmes</v>
      </c>
      <c r="H15" t="str">
        <v>Baulmes</v>
      </c>
      <c r="I15" t="str">
        <v>Baulmes</v>
      </c>
    </row>
    <row r="16" spans="1:9">
      <c r="A16" t="s">
        <v>287</v>
      </c>
      <c r="B16" t="s">
        <v>12</v>
      </c>
      <c r="C16" s="285" t="s">
        <v>8</v>
      </c>
      <c r="D16" s="286" t="s">
        <v>8</v>
      </c>
      <c r="E16" s="287" t="s">
        <v>8</v>
      </c>
      <c r="G16" t="str">
        <v>Bavois</v>
      </c>
      <c r="H16" t="str">
        <v>Bavois</v>
      </c>
      <c r="I16" t="str">
        <v>Bavois</v>
      </c>
    </row>
    <row r="17" spans="1:9">
      <c r="A17" t="s">
        <v>253</v>
      </c>
      <c r="B17" t="s">
        <v>12</v>
      </c>
      <c r="C17" s="285" t="s">
        <v>6</v>
      </c>
      <c r="D17" s="286" t="s">
        <v>6</v>
      </c>
      <c r="E17" s="287" t="s">
        <v>8</v>
      </c>
      <c r="G17" t="str">
        <v>Begnins</v>
      </c>
      <c r="H17" t="str">
        <v>Begnins</v>
      </c>
      <c r="I17" t="str">
        <v>Begnins</v>
      </c>
    </row>
    <row r="18" spans="1:9">
      <c r="A18" t="s">
        <v>184</v>
      </c>
      <c r="B18" t="s">
        <v>12</v>
      </c>
      <c r="C18" s="285" t="s">
        <v>6</v>
      </c>
      <c r="D18" s="286" t="s">
        <v>6</v>
      </c>
      <c r="E18" s="287" t="s">
        <v>6</v>
      </c>
      <c r="G18" t="str">
        <v>Belmont-sur-Lausanne</v>
      </c>
      <c r="H18" t="str">
        <v>Belmont-sur-Lausanne</v>
      </c>
      <c r="I18" t="str">
        <v>Belmont-sur-Lausanne</v>
      </c>
    </row>
    <row r="19" spans="1:9">
      <c r="A19" t="s">
        <v>353</v>
      </c>
      <c r="B19" t="s">
        <v>12</v>
      </c>
      <c r="C19" s="285" t="s">
        <v>8</v>
      </c>
      <c r="D19" s="286" t="s">
        <v>9</v>
      </c>
      <c r="E19" s="287" t="s">
        <v>10</v>
      </c>
      <c r="G19" t="str">
        <v>Belmont-sur-Yverdon</v>
      </c>
      <c r="H19" t="str">
        <v>Belmont-sur-Yverdon</v>
      </c>
      <c r="I19" t="str">
        <v>Belmont-sur-Yverdon</v>
      </c>
    </row>
    <row r="20" spans="1:9">
      <c r="A20" t="s">
        <v>147</v>
      </c>
      <c r="B20" t="s">
        <v>12</v>
      </c>
      <c r="C20" s="285" t="s">
        <v>8</v>
      </c>
      <c r="D20" s="286" t="s">
        <v>8</v>
      </c>
      <c r="E20" s="287" t="s">
        <v>9</v>
      </c>
      <c r="G20" t="str">
        <v>Bercher</v>
      </c>
      <c r="H20" t="str">
        <v>Bercher</v>
      </c>
      <c r="I20" t="str">
        <v>Bercher</v>
      </c>
    </row>
    <row r="21" spans="1:9">
      <c r="A21" t="s">
        <v>101</v>
      </c>
      <c r="B21" t="s">
        <v>12</v>
      </c>
      <c r="C21" s="285" t="s">
        <v>8</v>
      </c>
      <c r="D21" s="286" t="s">
        <v>9</v>
      </c>
      <c r="E21" s="287" t="s">
        <v>9</v>
      </c>
      <c r="G21" t="str">
        <v>Berolle</v>
      </c>
      <c r="H21" t="str">
        <v>Berolle</v>
      </c>
      <c r="I21" t="str">
        <v>Berolle</v>
      </c>
    </row>
    <row r="22" spans="1:9">
      <c r="A22" t="s">
        <v>117</v>
      </c>
      <c r="B22" t="s">
        <v>12</v>
      </c>
      <c r="C22" s="285" t="s">
        <v>8</v>
      </c>
      <c r="D22" s="286" t="s">
        <v>8</v>
      </c>
      <c r="E22" s="287" t="s">
        <v>8</v>
      </c>
      <c r="G22" t="str">
        <v>Bettens</v>
      </c>
      <c r="H22" t="str">
        <v>Bettens</v>
      </c>
      <c r="I22" t="str">
        <v>Bettens</v>
      </c>
    </row>
    <row r="23" spans="1:9">
      <c r="A23" t="s">
        <v>85</v>
      </c>
      <c r="B23" t="s">
        <v>12</v>
      </c>
      <c r="C23" s="285" t="s">
        <v>8</v>
      </c>
      <c r="D23" s="286" t="s">
        <v>9</v>
      </c>
      <c r="E23" s="287" t="s">
        <v>9</v>
      </c>
      <c r="G23" t="str">
        <v>Bex</v>
      </c>
      <c r="H23" t="str">
        <v>Bex</v>
      </c>
      <c r="I23" t="str">
        <v>Bex</v>
      </c>
    </row>
    <row r="24" spans="1:9">
      <c r="A24" t="s">
        <v>102</v>
      </c>
      <c r="B24" t="s">
        <v>12</v>
      </c>
      <c r="C24" s="285" t="s">
        <v>8</v>
      </c>
      <c r="D24" s="286" t="s">
        <v>9</v>
      </c>
      <c r="E24" s="287" t="s">
        <v>9</v>
      </c>
      <c r="G24" t="str">
        <v>Bière</v>
      </c>
      <c r="H24" t="str">
        <v>Bière</v>
      </c>
      <c r="I24" t="str">
        <v>Bière</v>
      </c>
    </row>
    <row r="25" spans="1:9">
      <c r="A25" t="s">
        <v>354</v>
      </c>
      <c r="B25" t="s">
        <v>12</v>
      </c>
      <c r="C25" s="285" t="s">
        <v>9</v>
      </c>
      <c r="D25" s="286" t="s">
        <v>10</v>
      </c>
      <c r="E25" s="287" t="s">
        <v>9</v>
      </c>
      <c r="G25" t="str">
        <v>Bioley-Magnoux</v>
      </c>
      <c r="H25" t="str">
        <v>Bioley-Magnoux</v>
      </c>
      <c r="I25" t="str">
        <v>Bioley-Magnoux</v>
      </c>
    </row>
    <row r="26" spans="1:9">
      <c r="A26" t="s">
        <v>489</v>
      </c>
      <c r="B26" t="s">
        <v>12</v>
      </c>
      <c r="C26" s="285" t="s">
        <v>6</v>
      </c>
      <c r="D26" s="286" t="s">
        <v>6</v>
      </c>
      <c r="E26" s="287" t="s">
        <v>6</v>
      </c>
      <c r="G26" t="str">
        <v>Blonay - Saint-Légier</v>
      </c>
      <c r="H26" t="str">
        <v>Blonay - Saint-Légier</v>
      </c>
      <c r="I26" t="str">
        <v>Blonay - Saint-Légier</v>
      </c>
    </row>
    <row r="27" spans="1:9">
      <c r="A27" t="s">
        <v>288</v>
      </c>
      <c r="B27" t="s">
        <v>12</v>
      </c>
      <c r="C27" s="285" t="s">
        <v>9</v>
      </c>
      <c r="D27" s="286" t="s">
        <v>9</v>
      </c>
      <c r="E27" s="287" t="s">
        <v>9</v>
      </c>
      <c r="G27" t="str">
        <v>Bofflens</v>
      </c>
      <c r="H27" t="str">
        <v>Bofflens</v>
      </c>
      <c r="I27" t="str">
        <v>Bofflens</v>
      </c>
    </row>
    <row r="28" spans="1:9">
      <c r="A28" t="s">
        <v>254</v>
      </c>
      <c r="B28" t="s">
        <v>12</v>
      </c>
      <c r="C28" s="285" t="s">
        <v>6</v>
      </c>
      <c r="D28" s="286" t="s">
        <v>6</v>
      </c>
      <c r="E28" s="287" t="s">
        <v>6</v>
      </c>
      <c r="G28" t="str">
        <v>Bogis-Bossey</v>
      </c>
      <c r="H28" t="str">
        <v>Bogis-Bossey</v>
      </c>
      <c r="I28" t="str">
        <v>Bogis-Bossey</v>
      </c>
    </row>
    <row r="29" spans="1:9">
      <c r="A29" t="s">
        <v>167</v>
      </c>
      <c r="B29" t="s">
        <v>12</v>
      </c>
      <c r="C29" s="285" t="s">
        <v>9</v>
      </c>
      <c r="D29" s="286" t="s">
        <v>8</v>
      </c>
      <c r="E29" s="287" t="s">
        <v>9</v>
      </c>
      <c r="G29" t="str">
        <v>Bonvillars</v>
      </c>
      <c r="H29" t="str">
        <v>Bonvillars</v>
      </c>
      <c r="I29" t="str">
        <v>Bonvillars</v>
      </c>
    </row>
    <row r="30" spans="1:9">
      <c r="A30" t="s">
        <v>255</v>
      </c>
      <c r="B30" t="s">
        <v>12</v>
      </c>
      <c r="C30" s="285" t="s">
        <v>6</v>
      </c>
      <c r="D30" s="286" t="s">
        <v>6</v>
      </c>
      <c r="E30" s="287" t="s">
        <v>8</v>
      </c>
      <c r="G30" t="str">
        <v>Borex</v>
      </c>
      <c r="H30" t="str">
        <v>Borex</v>
      </c>
      <c r="I30" t="str">
        <v>Borex</v>
      </c>
    </row>
    <row r="31" spans="1:9">
      <c r="A31" t="s">
        <v>148</v>
      </c>
      <c r="B31" t="s">
        <v>12</v>
      </c>
      <c r="C31" s="285" t="s">
        <v>6</v>
      </c>
      <c r="D31" s="286" t="s">
        <v>8</v>
      </c>
      <c r="E31" s="287" t="s">
        <v>8</v>
      </c>
      <c r="G31" t="str">
        <v>Bottens</v>
      </c>
      <c r="H31" t="str">
        <v>Bottens</v>
      </c>
      <c r="I31" t="str">
        <v>Bottens</v>
      </c>
    </row>
    <row r="32" spans="1:9">
      <c r="A32" t="s">
        <v>103</v>
      </c>
      <c r="B32" t="s">
        <v>12</v>
      </c>
      <c r="C32" s="285" t="s">
        <v>6</v>
      </c>
      <c r="D32" s="286" t="s">
        <v>8</v>
      </c>
      <c r="E32" s="287" t="s">
        <v>6</v>
      </c>
      <c r="G32" t="str">
        <v>Bougy-Villars</v>
      </c>
      <c r="H32" t="str">
        <v>Bougy-Villars</v>
      </c>
      <c r="I32" t="str">
        <v>Bougy-Villars</v>
      </c>
    </row>
    <row r="33" spans="1:9">
      <c r="A33" t="s">
        <v>234</v>
      </c>
      <c r="B33" t="s">
        <v>12</v>
      </c>
      <c r="C33" s="285" t="s">
        <v>9</v>
      </c>
      <c r="D33" s="286" t="s">
        <v>10</v>
      </c>
      <c r="E33" s="287" t="s">
        <v>9</v>
      </c>
      <c r="G33" t="str">
        <v>Boulens</v>
      </c>
      <c r="H33" t="str">
        <v>Boulens</v>
      </c>
      <c r="I33" t="str">
        <v>Boulens</v>
      </c>
    </row>
    <row r="34" spans="1:9">
      <c r="A34" t="s">
        <v>203</v>
      </c>
      <c r="B34" t="s">
        <v>12</v>
      </c>
      <c r="C34" s="285" t="s">
        <v>6</v>
      </c>
      <c r="D34" s="286" t="s">
        <v>6</v>
      </c>
      <c r="E34" s="287" t="s">
        <v>6</v>
      </c>
      <c r="G34" t="str">
        <v>Bourg-en-Lavaux</v>
      </c>
      <c r="H34" t="str">
        <v>Bourg-en-Lavaux</v>
      </c>
      <c r="I34" t="str">
        <v>Bourg-en-Lavaux</v>
      </c>
    </row>
    <row r="35" spans="1:9">
      <c r="A35" t="s">
        <v>118</v>
      </c>
      <c r="B35" t="s">
        <v>12</v>
      </c>
      <c r="C35" s="285" t="s">
        <v>8</v>
      </c>
      <c r="D35" s="286" t="s">
        <v>8</v>
      </c>
      <c r="E35" s="287" t="s">
        <v>8</v>
      </c>
      <c r="G35" t="str">
        <v>Bournens</v>
      </c>
      <c r="H35" t="str">
        <v>Bournens</v>
      </c>
      <c r="I35" t="str">
        <v>Bournens</v>
      </c>
    </row>
    <row r="36" spans="1:9">
      <c r="A36" t="s">
        <v>119</v>
      </c>
      <c r="B36" t="s">
        <v>12</v>
      </c>
      <c r="C36" s="285" t="s">
        <v>8</v>
      </c>
      <c r="D36" s="286" t="s">
        <v>8</v>
      </c>
      <c r="E36" s="287" t="s">
        <v>8</v>
      </c>
      <c r="G36" t="str">
        <v>Boussens</v>
      </c>
      <c r="H36" t="str">
        <v>Boussens</v>
      </c>
      <c r="I36" t="str">
        <v>Boussens</v>
      </c>
    </row>
    <row r="37" spans="1:9">
      <c r="A37" t="s">
        <v>205</v>
      </c>
      <c r="B37" t="s">
        <v>12</v>
      </c>
      <c r="C37" s="285" t="s">
        <v>6</v>
      </c>
      <c r="D37" s="286" t="s">
        <v>6</v>
      </c>
      <c r="E37" s="287" t="s">
        <v>6</v>
      </c>
      <c r="G37" t="str">
        <v>Bremblens</v>
      </c>
      <c r="H37" t="str">
        <v>Bremblens</v>
      </c>
      <c r="I37" t="str">
        <v>Bremblens</v>
      </c>
    </row>
    <row r="38" spans="1:9">
      <c r="A38" t="s">
        <v>149</v>
      </c>
      <c r="B38" t="s">
        <v>12</v>
      </c>
      <c r="C38" s="285" t="s">
        <v>6</v>
      </c>
      <c r="D38" s="286" t="s">
        <v>8</v>
      </c>
      <c r="E38" s="287" t="s">
        <v>8</v>
      </c>
      <c r="G38" t="str">
        <v>Bretigny-sur-Morrens</v>
      </c>
      <c r="H38" t="str">
        <v>Bretigny-sur-Morrens</v>
      </c>
      <c r="I38" t="str">
        <v>Bretigny-sur-Morrens</v>
      </c>
    </row>
    <row r="39" spans="1:9">
      <c r="A39" t="s">
        <v>289</v>
      </c>
      <c r="B39" t="s">
        <v>12</v>
      </c>
      <c r="C39" s="285" t="s">
        <v>9</v>
      </c>
      <c r="D39" s="286" t="s">
        <v>10</v>
      </c>
      <c r="E39" s="287" t="s">
        <v>9</v>
      </c>
      <c r="G39" t="str">
        <v>Bretonnières</v>
      </c>
      <c r="H39" t="str">
        <v>Bretonnières</v>
      </c>
      <c r="I39" t="str">
        <v>Bretonnières</v>
      </c>
    </row>
    <row r="40" spans="1:9">
      <c r="A40" t="s">
        <v>206</v>
      </c>
      <c r="B40" t="s">
        <v>12</v>
      </c>
      <c r="C40" s="285" t="s">
        <v>6</v>
      </c>
      <c r="D40" s="286" t="s">
        <v>6</v>
      </c>
      <c r="E40" s="287" t="s">
        <v>6</v>
      </c>
      <c r="G40" t="str">
        <v>Buchillon</v>
      </c>
      <c r="H40" t="str">
        <v>Buchillon</v>
      </c>
      <c r="I40" t="str">
        <v>Buchillon</v>
      </c>
    </row>
    <row r="41" spans="1:9">
      <c r="A41" t="s">
        <v>168</v>
      </c>
      <c r="B41" t="s">
        <v>12</v>
      </c>
      <c r="C41" s="285" t="s">
        <v>10</v>
      </c>
      <c r="D41" s="286" t="s">
        <v>11</v>
      </c>
      <c r="E41" s="287" t="s">
        <v>11</v>
      </c>
      <c r="G41" t="str">
        <v>Bullet</v>
      </c>
      <c r="H41" t="str">
        <v>Bullet</v>
      </c>
      <c r="I41" t="str">
        <v>Bullet</v>
      </c>
    </row>
    <row r="42" spans="1:9">
      <c r="A42" t="s">
        <v>330</v>
      </c>
      <c r="B42" t="s">
        <v>12</v>
      </c>
      <c r="C42" s="285" t="s">
        <v>6</v>
      </c>
      <c r="D42" s="286" t="s">
        <v>6</v>
      </c>
      <c r="E42" s="287" t="s">
        <v>8</v>
      </c>
      <c r="G42" t="str">
        <v>Bursinel</v>
      </c>
      <c r="H42" t="str">
        <v>Bursinel</v>
      </c>
      <c r="I42" t="str">
        <v>Bursinel</v>
      </c>
    </row>
    <row r="43" spans="1:9">
      <c r="A43" t="s">
        <v>331</v>
      </c>
      <c r="B43" t="s">
        <v>12</v>
      </c>
      <c r="C43" s="285" t="s">
        <v>6</v>
      </c>
      <c r="D43" s="286" t="s">
        <v>8</v>
      </c>
      <c r="E43" s="287" t="s">
        <v>8</v>
      </c>
      <c r="G43" t="str">
        <v>Bursins</v>
      </c>
      <c r="H43" t="str">
        <v>Bursins</v>
      </c>
      <c r="I43" t="str">
        <v>Bursins</v>
      </c>
    </row>
    <row r="44" spans="1:9">
      <c r="A44" t="s">
        <v>332</v>
      </c>
      <c r="B44" t="s">
        <v>12</v>
      </c>
      <c r="C44" s="285" t="s">
        <v>8</v>
      </c>
      <c r="D44" s="286" t="s">
        <v>8</v>
      </c>
      <c r="E44" s="287" t="s">
        <v>9</v>
      </c>
      <c r="G44" t="str">
        <v>Burtigny</v>
      </c>
      <c r="H44" t="str">
        <v>Burtigny</v>
      </c>
      <c r="I44" t="str">
        <v>Burtigny</v>
      </c>
    </row>
    <row r="45" spans="1:9">
      <c r="A45" t="s">
        <v>207</v>
      </c>
      <c r="B45" t="s">
        <v>12</v>
      </c>
      <c r="C45" s="285" t="s">
        <v>7</v>
      </c>
      <c r="D45" s="286" t="s">
        <v>6</v>
      </c>
      <c r="E45" s="287" t="s">
        <v>6</v>
      </c>
      <c r="G45" t="str">
        <v>Bussigny</v>
      </c>
      <c r="H45" t="str">
        <v>Bussigny</v>
      </c>
      <c r="I45" t="str">
        <v>Bussigny</v>
      </c>
    </row>
    <row r="46" spans="1:9">
      <c r="A46" t="s">
        <v>235</v>
      </c>
      <c r="B46" t="s">
        <v>12</v>
      </c>
      <c r="C46" s="285" t="s">
        <v>10</v>
      </c>
      <c r="D46" s="286" t="s">
        <v>10</v>
      </c>
      <c r="E46" s="287" t="s">
        <v>9</v>
      </c>
      <c r="G46" t="str">
        <v>Bussy-sur-Moudon</v>
      </c>
      <c r="H46" t="str">
        <v>Bussy-sur-Moudon</v>
      </c>
      <c r="I46" t="str">
        <v>Bussy-sur-Moudon</v>
      </c>
    </row>
    <row r="47" spans="1:9">
      <c r="A47" t="s">
        <v>355</v>
      </c>
      <c r="B47" t="s">
        <v>12</v>
      </c>
      <c r="C47" s="285" t="s">
        <v>8</v>
      </c>
      <c r="D47" s="286" t="s">
        <v>8</v>
      </c>
      <c r="E47" s="287" t="s">
        <v>9</v>
      </c>
      <c r="G47" t="str">
        <v>Chamblon</v>
      </c>
      <c r="H47" t="str">
        <v>Chamblon</v>
      </c>
      <c r="I47" t="str">
        <v>Chamblon</v>
      </c>
    </row>
    <row r="48" spans="1:9">
      <c r="A48" t="s">
        <v>169</v>
      </c>
      <c r="B48" t="s">
        <v>12</v>
      </c>
      <c r="C48" s="285" t="s">
        <v>8</v>
      </c>
      <c r="D48" s="286" t="s">
        <v>8</v>
      </c>
      <c r="E48" s="287" t="s">
        <v>9</v>
      </c>
      <c r="G48" t="str">
        <v>Champagne</v>
      </c>
      <c r="H48" t="str">
        <v>Champagne</v>
      </c>
      <c r="I48" t="str">
        <v>Champagne</v>
      </c>
    </row>
    <row r="49" spans="1:9">
      <c r="A49" t="s">
        <v>315</v>
      </c>
      <c r="B49" t="s">
        <v>12</v>
      </c>
      <c r="C49" s="285" t="s">
        <v>9</v>
      </c>
      <c r="D49" s="286" t="s">
        <v>10</v>
      </c>
      <c r="E49" s="287" t="s">
        <v>10</v>
      </c>
      <c r="G49" t="str">
        <v>Champtauroz</v>
      </c>
      <c r="H49" t="str">
        <v>Champtauroz</v>
      </c>
      <c r="I49" t="str">
        <v>Champtauroz</v>
      </c>
    </row>
    <row r="50" spans="1:9">
      <c r="A50" t="s">
        <v>356</v>
      </c>
      <c r="B50" t="s">
        <v>12</v>
      </c>
      <c r="C50" s="285" t="s">
        <v>8</v>
      </c>
      <c r="D50" s="286" t="s">
        <v>8</v>
      </c>
      <c r="E50" s="287" t="s">
        <v>9</v>
      </c>
      <c r="G50" t="str">
        <v>Champvent</v>
      </c>
      <c r="H50" t="str">
        <v>Champvent</v>
      </c>
      <c r="I50" t="str">
        <v>Champvent</v>
      </c>
    </row>
    <row r="51" spans="1:9">
      <c r="A51" t="s">
        <v>345</v>
      </c>
      <c r="B51" t="s">
        <v>12</v>
      </c>
      <c r="C51" s="285" t="s">
        <v>6</v>
      </c>
      <c r="D51" s="286" t="s">
        <v>6</v>
      </c>
      <c r="E51" s="287" t="s">
        <v>8</v>
      </c>
      <c r="G51" t="str">
        <v>Chardonne</v>
      </c>
      <c r="H51" t="str">
        <v>Chardonne</v>
      </c>
      <c r="I51" t="str">
        <v>Chardonne</v>
      </c>
    </row>
    <row r="52" spans="1:9">
      <c r="A52" t="s">
        <v>326</v>
      </c>
      <c r="B52" t="s">
        <v>12</v>
      </c>
      <c r="C52" s="285" t="s">
        <v>9</v>
      </c>
      <c r="D52" s="286" t="s">
        <v>8</v>
      </c>
      <c r="E52" s="287" t="s">
        <v>9</v>
      </c>
      <c r="G52" t="str">
        <v>Château-d'Oex</v>
      </c>
      <c r="H52" t="str">
        <v>Château-d'Oex</v>
      </c>
      <c r="I52" t="str">
        <v>Château-d'Oex</v>
      </c>
    </row>
    <row r="53" spans="1:9">
      <c r="A53" t="s">
        <v>256</v>
      </c>
      <c r="B53" t="s">
        <v>12</v>
      </c>
      <c r="C53" s="285" t="s">
        <v>6</v>
      </c>
      <c r="D53" s="286" t="s">
        <v>6</v>
      </c>
      <c r="E53" s="287" t="s">
        <v>6</v>
      </c>
      <c r="G53" t="str">
        <v>Chavannes-de-Bogis</v>
      </c>
      <c r="H53" t="str">
        <v>Chavannes-de-Bogis</v>
      </c>
      <c r="I53" t="str">
        <v>Chavannes-de-Bogis</v>
      </c>
    </row>
    <row r="54" spans="1:9">
      <c r="A54" t="s">
        <v>257</v>
      </c>
      <c r="B54" t="s">
        <v>12</v>
      </c>
      <c r="C54" s="285" t="s">
        <v>6</v>
      </c>
      <c r="D54" s="286" t="s">
        <v>8</v>
      </c>
      <c r="E54" s="287" t="s">
        <v>6</v>
      </c>
      <c r="G54" t="str">
        <v>Chavannes-des-Bois</v>
      </c>
      <c r="H54" t="str">
        <v>Chavannes-des-Bois</v>
      </c>
      <c r="I54" t="str">
        <v>Chavannes-des-Bois</v>
      </c>
    </row>
    <row r="55" spans="1:9">
      <c r="A55" t="s">
        <v>357</v>
      </c>
      <c r="B55" t="s">
        <v>12</v>
      </c>
      <c r="C55" s="285" t="s">
        <v>9</v>
      </c>
      <c r="D55" s="286" t="s">
        <v>10</v>
      </c>
      <c r="E55" s="287" t="s">
        <v>10</v>
      </c>
      <c r="G55" t="str">
        <v>Chavannes-le-Chêne</v>
      </c>
      <c r="H55" t="str">
        <v>Chavannes-le-Chêne</v>
      </c>
      <c r="I55" t="str">
        <v>Chavannes-le-Chêne</v>
      </c>
    </row>
    <row r="56" spans="1:9">
      <c r="A56" t="s">
        <v>121</v>
      </c>
      <c r="B56" t="s">
        <v>12</v>
      </c>
      <c r="C56" s="285" t="s">
        <v>8</v>
      </c>
      <c r="D56" s="286" t="s">
        <v>9</v>
      </c>
      <c r="E56" s="287" t="s">
        <v>9</v>
      </c>
      <c r="G56" t="str">
        <v>Chavannes-le-Veyron</v>
      </c>
      <c r="H56" t="str">
        <v>Chavannes-le-Veyron</v>
      </c>
      <c r="I56" t="str">
        <v>Chavannes-le-Veyron</v>
      </c>
    </row>
    <row r="57" spans="1:9">
      <c r="A57" t="s">
        <v>208</v>
      </c>
      <c r="B57" t="s">
        <v>12</v>
      </c>
      <c r="C57" s="285" t="s">
        <v>7</v>
      </c>
      <c r="D57" s="286" t="s">
        <v>6</v>
      </c>
      <c r="E57" s="287" t="s">
        <v>8</v>
      </c>
      <c r="G57" t="str">
        <v>Chavannes-près-Renens</v>
      </c>
      <c r="H57" t="str">
        <v>Chavannes-près-Renens</v>
      </c>
      <c r="I57" t="str">
        <v>Chavannes-près-Renens</v>
      </c>
    </row>
    <row r="58" spans="1:9">
      <c r="A58" t="s">
        <v>236</v>
      </c>
      <c r="B58" t="s">
        <v>12</v>
      </c>
      <c r="C58" s="285" t="s">
        <v>10</v>
      </c>
      <c r="D58" s="286" t="s">
        <v>10</v>
      </c>
      <c r="E58" s="287" t="s">
        <v>10</v>
      </c>
      <c r="G58" t="str">
        <v>Chavannes-sur-Moudon</v>
      </c>
      <c r="H58" t="str">
        <v>Chavannes-sur-Moudon</v>
      </c>
      <c r="I58" t="str">
        <v>Chavannes-sur-Moudon</v>
      </c>
    </row>
    <row r="59" spans="1:9">
      <c r="A59" t="s">
        <v>290</v>
      </c>
      <c r="B59" t="s">
        <v>12</v>
      </c>
      <c r="C59" s="285" t="s">
        <v>6</v>
      </c>
      <c r="D59" s="286" t="s">
        <v>8</v>
      </c>
      <c r="E59" s="287" t="s">
        <v>8</v>
      </c>
      <c r="G59" t="str">
        <v>Chavornay</v>
      </c>
      <c r="H59" t="str">
        <v>Chavornay</v>
      </c>
      <c r="I59" t="str">
        <v>Chavornay</v>
      </c>
    </row>
    <row r="60" spans="1:9">
      <c r="A60" t="s">
        <v>358</v>
      </c>
      <c r="B60" t="s">
        <v>12</v>
      </c>
      <c r="C60" s="285" t="s">
        <v>10</v>
      </c>
      <c r="D60" s="286" t="s">
        <v>10</v>
      </c>
      <c r="E60" s="287" t="s">
        <v>10</v>
      </c>
      <c r="G60" t="str">
        <v>Chêne-Pâquier</v>
      </c>
      <c r="H60" t="str">
        <v>Chêne-Pâquier</v>
      </c>
      <c r="I60" t="str">
        <v>Chêne-Pâquier</v>
      </c>
    </row>
    <row r="61" spans="1:9">
      <c r="A61" t="s">
        <v>359</v>
      </c>
      <c r="B61" t="s">
        <v>12</v>
      </c>
      <c r="C61" s="285" t="s">
        <v>8</v>
      </c>
      <c r="D61" s="286" t="s">
        <v>8</v>
      </c>
      <c r="E61" s="287" t="s">
        <v>8</v>
      </c>
      <c r="G61" t="str">
        <v>Cheseaux-Noréaz</v>
      </c>
      <c r="H61" t="str">
        <v>Cheseaux-Noréaz</v>
      </c>
      <c r="I61" t="str">
        <v>Cheseaux-Noréaz</v>
      </c>
    </row>
    <row r="62" spans="1:9">
      <c r="A62" t="s">
        <v>185</v>
      </c>
      <c r="B62" t="s">
        <v>12</v>
      </c>
      <c r="C62" s="285" t="s">
        <v>6</v>
      </c>
      <c r="D62" s="286" t="s">
        <v>6</v>
      </c>
      <c r="E62" s="287" t="s">
        <v>8</v>
      </c>
      <c r="G62" t="str">
        <v>Cheseaux-sur-Lausanne</v>
      </c>
      <c r="H62" t="str">
        <v>Cheseaux-sur-Lausanne</v>
      </c>
      <c r="I62" t="str">
        <v>Cheseaux-sur-Lausanne</v>
      </c>
    </row>
    <row r="63" spans="1:9">
      <c r="A63" t="s">
        <v>258</v>
      </c>
      <c r="B63" t="s">
        <v>12</v>
      </c>
      <c r="C63" s="285" t="s">
        <v>6</v>
      </c>
      <c r="D63" s="286" t="s">
        <v>8</v>
      </c>
      <c r="E63" s="287" t="s">
        <v>6</v>
      </c>
      <c r="G63" t="str">
        <v>Chéserex</v>
      </c>
      <c r="H63" t="str">
        <v>Chéserex</v>
      </c>
      <c r="I63" t="str">
        <v>Chéserex</v>
      </c>
    </row>
    <row r="64" spans="1:9">
      <c r="A64" t="s">
        <v>86</v>
      </c>
      <c r="B64" t="s">
        <v>12</v>
      </c>
      <c r="C64" s="285" t="s">
        <v>9</v>
      </c>
      <c r="D64" s="286" t="s">
        <v>9</v>
      </c>
      <c r="E64" s="287" t="s">
        <v>9</v>
      </c>
      <c r="G64" t="str">
        <v>Chessel</v>
      </c>
      <c r="H64" t="str">
        <v>Chessel</v>
      </c>
      <c r="I64" t="str">
        <v>Chessel</v>
      </c>
    </row>
    <row r="65" spans="1:9">
      <c r="A65" t="s">
        <v>122</v>
      </c>
      <c r="B65" t="s">
        <v>12</v>
      </c>
      <c r="C65" s="285" t="s">
        <v>8</v>
      </c>
      <c r="D65" s="286" t="s">
        <v>9</v>
      </c>
      <c r="E65" s="287" t="s">
        <v>9</v>
      </c>
      <c r="G65" t="str">
        <v>Chevilly</v>
      </c>
      <c r="H65" t="str">
        <v>Chevilly</v>
      </c>
      <c r="I65" t="str">
        <v>Chevilly</v>
      </c>
    </row>
    <row r="66" spans="1:9">
      <c r="A66" t="s">
        <v>316</v>
      </c>
      <c r="B66" t="s">
        <v>12</v>
      </c>
      <c r="C66" s="285" t="s">
        <v>9</v>
      </c>
      <c r="D66" s="286" t="s">
        <v>10</v>
      </c>
      <c r="E66" s="287" t="s">
        <v>9</v>
      </c>
      <c r="G66" t="str">
        <v>Chevroux</v>
      </c>
      <c r="H66" t="str">
        <v>Chevroux</v>
      </c>
      <c r="I66" t="str">
        <v>Chevroux</v>
      </c>
    </row>
    <row r="67" spans="1:9">
      <c r="A67" t="s">
        <v>196</v>
      </c>
      <c r="B67" t="s">
        <v>12</v>
      </c>
      <c r="C67" s="285" t="s">
        <v>6</v>
      </c>
      <c r="D67" s="286" t="s">
        <v>6</v>
      </c>
      <c r="E67" s="287" t="s">
        <v>6</v>
      </c>
      <c r="G67" t="str">
        <v>Chexbres</v>
      </c>
      <c r="H67" t="str">
        <v>Chexbres</v>
      </c>
      <c r="I67" t="str">
        <v>Chexbres</v>
      </c>
    </row>
    <row r="68" spans="1:9">
      <c r="A68" t="s">
        <v>209</v>
      </c>
      <c r="B68" t="s">
        <v>12</v>
      </c>
      <c r="C68" s="285" t="s">
        <v>6</v>
      </c>
      <c r="D68" s="286" t="s">
        <v>6</v>
      </c>
      <c r="E68" s="287" t="s">
        <v>6</v>
      </c>
      <c r="G68" t="str">
        <v>Chigny</v>
      </c>
      <c r="H68" t="str">
        <v>Chigny</v>
      </c>
      <c r="I68" t="str">
        <v>Chigny</v>
      </c>
    </row>
    <row r="69" spans="1:9">
      <c r="A69" t="s">
        <v>210</v>
      </c>
      <c r="B69" t="s">
        <v>12</v>
      </c>
      <c r="C69" s="285" t="s">
        <v>8</v>
      </c>
      <c r="D69" s="286" t="s">
        <v>9</v>
      </c>
      <c r="E69" s="287" t="s">
        <v>9</v>
      </c>
      <c r="G69" t="str">
        <v>Clarmont</v>
      </c>
      <c r="H69" t="str">
        <v>Clarmont</v>
      </c>
      <c r="I69" t="str">
        <v>Clarmont</v>
      </c>
    </row>
    <row r="70" spans="1:9">
      <c r="A70" t="s">
        <v>259</v>
      </c>
      <c r="B70" t="s">
        <v>12</v>
      </c>
      <c r="C70" s="285" t="s">
        <v>6</v>
      </c>
      <c r="D70" s="286" t="s">
        <v>6</v>
      </c>
      <c r="E70" s="287" t="s">
        <v>8</v>
      </c>
      <c r="G70" t="str">
        <v>Coinsins</v>
      </c>
      <c r="H70" t="str">
        <v>Coinsins</v>
      </c>
      <c r="I70" t="str">
        <v>Coinsins</v>
      </c>
    </row>
    <row r="71" spans="1:9">
      <c r="A71" t="s">
        <v>260</v>
      </c>
      <c r="B71" t="s">
        <v>12</v>
      </c>
      <c r="C71" s="285" t="s">
        <v>6</v>
      </c>
      <c r="D71" s="286" t="s">
        <v>6</v>
      </c>
      <c r="E71" s="287" t="s">
        <v>7</v>
      </c>
      <c r="G71" t="str">
        <v>Commugny</v>
      </c>
      <c r="H71" t="str">
        <v>Commugny</v>
      </c>
      <c r="I71" t="str">
        <v>Commugny</v>
      </c>
    </row>
    <row r="72" spans="1:9">
      <c r="A72" t="s">
        <v>170</v>
      </c>
      <c r="B72" t="s">
        <v>12</v>
      </c>
      <c r="C72" s="285" t="s">
        <v>8</v>
      </c>
      <c r="D72" s="286" t="s">
        <v>8</v>
      </c>
      <c r="E72" s="287" t="s">
        <v>9</v>
      </c>
      <c r="G72" t="str">
        <v>Concise</v>
      </c>
      <c r="H72" t="str">
        <v>Concise</v>
      </c>
      <c r="I72" t="str">
        <v>Concise</v>
      </c>
    </row>
    <row r="73" spans="1:9">
      <c r="A73" t="s">
        <v>261</v>
      </c>
      <c r="B73" t="s">
        <v>12</v>
      </c>
      <c r="C73" s="285" t="s">
        <v>6</v>
      </c>
      <c r="D73" s="286" t="s">
        <v>6</v>
      </c>
      <c r="E73" s="287" t="s">
        <v>6</v>
      </c>
      <c r="G73" t="str">
        <v>Coppet</v>
      </c>
      <c r="H73" t="str">
        <v>Coppet</v>
      </c>
      <c r="I73" t="str">
        <v>Coppet</v>
      </c>
    </row>
    <row r="74" spans="1:9">
      <c r="A74" t="s">
        <v>87</v>
      </c>
      <c r="B74" t="s">
        <v>12</v>
      </c>
      <c r="C74" s="285" t="s">
        <v>10</v>
      </c>
      <c r="D74" s="286" t="s">
        <v>10</v>
      </c>
      <c r="E74" s="287" t="s">
        <v>10</v>
      </c>
      <c r="G74" t="str">
        <v>Corbeyrier</v>
      </c>
      <c r="H74" t="str">
        <v>Corbeyrier</v>
      </c>
      <c r="I74" t="str">
        <v>Corbeyrier</v>
      </c>
    </row>
    <row r="75" spans="1:9">
      <c r="A75" t="s">
        <v>306</v>
      </c>
      <c r="B75" t="s">
        <v>12</v>
      </c>
      <c r="C75" s="285" t="s">
        <v>9</v>
      </c>
      <c r="D75" s="286" t="s">
        <v>9</v>
      </c>
      <c r="E75" s="287" t="s">
        <v>9</v>
      </c>
      <c r="G75" t="str">
        <v>Corcelles-le-Jorat</v>
      </c>
      <c r="H75" t="str">
        <v>Corcelles-le-Jorat</v>
      </c>
      <c r="I75" t="str">
        <v>Corcelles-le-Jorat</v>
      </c>
    </row>
    <row r="76" spans="1:9">
      <c r="A76" t="s">
        <v>171</v>
      </c>
      <c r="B76" t="s">
        <v>12</v>
      </c>
      <c r="C76" s="285" t="s">
        <v>8</v>
      </c>
      <c r="D76" s="286" t="s">
        <v>9</v>
      </c>
      <c r="E76" s="287" t="s">
        <v>9</v>
      </c>
      <c r="G76" t="str">
        <v>Corcelles-près-Concise</v>
      </c>
      <c r="H76" t="str">
        <v>Corcelles-près-Concise</v>
      </c>
      <c r="I76" t="str">
        <v>Corcelles-près-Concise</v>
      </c>
    </row>
    <row r="77" spans="1:9">
      <c r="A77" t="s">
        <v>317</v>
      </c>
      <c r="B77" t="s">
        <v>12</v>
      </c>
      <c r="C77" s="285" t="s">
        <v>8</v>
      </c>
      <c r="D77" s="286" t="s">
        <v>9</v>
      </c>
      <c r="E77" s="287" t="s">
        <v>8</v>
      </c>
      <c r="G77" t="str">
        <v>Corcelles-près-Payerne</v>
      </c>
      <c r="H77" t="str">
        <v>Corcelles-près-Payerne</v>
      </c>
      <c r="I77" t="str">
        <v>Corcelles-près-Payerne</v>
      </c>
    </row>
    <row r="78" spans="1:9">
      <c r="A78" t="s">
        <v>346</v>
      </c>
      <c r="B78" t="s">
        <v>12</v>
      </c>
      <c r="C78" s="285" t="s">
        <v>6</v>
      </c>
      <c r="D78" s="286" t="s">
        <v>6</v>
      </c>
      <c r="E78" s="287" t="s">
        <v>6</v>
      </c>
      <c r="G78" t="str">
        <v>Corseaux</v>
      </c>
      <c r="H78" t="str">
        <v>Corseaux</v>
      </c>
      <c r="I78" t="str">
        <v>Corseaux</v>
      </c>
    </row>
    <row r="79" spans="1:9">
      <c r="A79" t="s">
        <v>347</v>
      </c>
      <c r="B79" t="s">
        <v>12</v>
      </c>
      <c r="C79" s="285" t="s">
        <v>6</v>
      </c>
      <c r="D79" s="286" t="s">
        <v>8</v>
      </c>
      <c r="E79" s="287" t="s">
        <v>8</v>
      </c>
      <c r="G79" t="str">
        <v>Corsier-sur-Vevey</v>
      </c>
      <c r="H79" t="str">
        <v>Corsier-sur-Vevey</v>
      </c>
      <c r="I79" t="str">
        <v>Corsier-sur-Vevey</v>
      </c>
    </row>
    <row r="80" spans="1:9">
      <c r="A80" t="s">
        <v>123</v>
      </c>
      <c r="B80" t="s">
        <v>12</v>
      </c>
      <c r="C80" s="285" t="s">
        <v>6</v>
      </c>
      <c r="D80" s="286" t="s">
        <v>6</v>
      </c>
      <c r="E80" s="287" t="s">
        <v>8</v>
      </c>
      <c r="G80" t="str">
        <v>Cossonay</v>
      </c>
      <c r="H80" t="str">
        <v>Cossonay</v>
      </c>
      <c r="I80" t="str">
        <v>Cossonay</v>
      </c>
    </row>
    <row r="81" spans="1:9">
      <c r="A81" t="s">
        <v>262</v>
      </c>
      <c r="B81" t="s">
        <v>12</v>
      </c>
      <c r="C81" s="285" t="s">
        <v>6</v>
      </c>
      <c r="D81" s="286" t="s">
        <v>6</v>
      </c>
      <c r="E81" s="287" t="s">
        <v>6</v>
      </c>
      <c r="G81" t="str">
        <v>Crans (VD)</v>
      </c>
      <c r="H81" t="str">
        <v>Crans (VD)</v>
      </c>
      <c r="I81" t="str">
        <v>Crans (VD)</v>
      </c>
    </row>
    <row r="82" spans="1:9">
      <c r="A82" t="s">
        <v>263</v>
      </c>
      <c r="B82" t="s">
        <v>12</v>
      </c>
      <c r="C82" s="285" t="s">
        <v>6</v>
      </c>
      <c r="D82" s="286" t="s">
        <v>8</v>
      </c>
      <c r="E82" s="287" t="s">
        <v>6</v>
      </c>
      <c r="G82" t="str">
        <v>Crassier</v>
      </c>
      <c r="H82" t="str">
        <v>Crassier</v>
      </c>
      <c r="I82" t="str">
        <v>Crassier</v>
      </c>
    </row>
    <row r="83" spans="1:9">
      <c r="A83" t="s">
        <v>186</v>
      </c>
      <c r="B83" t="s">
        <v>12</v>
      </c>
      <c r="C83" s="285" t="s">
        <v>7</v>
      </c>
      <c r="D83" s="286" t="s">
        <v>6</v>
      </c>
      <c r="E83" s="287" t="s">
        <v>6</v>
      </c>
      <c r="G83" t="str">
        <v>Crissier</v>
      </c>
      <c r="H83" t="str">
        <v>Crissier</v>
      </c>
      <c r="I83" t="str">
        <v>Crissier</v>
      </c>
    </row>
    <row r="84" spans="1:9">
      <c r="A84" t="s">
        <v>360</v>
      </c>
      <c r="B84" t="s">
        <v>12</v>
      </c>
      <c r="C84" s="285" t="s">
        <v>9</v>
      </c>
      <c r="D84" s="286" t="s">
        <v>9</v>
      </c>
      <c r="E84" s="287" t="s">
        <v>9</v>
      </c>
      <c r="G84" t="str">
        <v>Cronay</v>
      </c>
      <c r="H84" t="str">
        <v>Cronay</v>
      </c>
      <c r="I84" t="str">
        <v>Cronay</v>
      </c>
    </row>
    <row r="85" spans="1:9">
      <c r="A85" t="s">
        <v>292</v>
      </c>
      <c r="B85" t="s">
        <v>12</v>
      </c>
      <c r="C85" s="285" t="s">
        <v>9</v>
      </c>
      <c r="D85" s="286" t="s">
        <v>9</v>
      </c>
      <c r="E85" s="287" t="s">
        <v>9</v>
      </c>
      <c r="G85" t="str">
        <v>Croy</v>
      </c>
      <c r="H85" t="str">
        <v>Croy</v>
      </c>
      <c r="I85" t="str">
        <v>Croy</v>
      </c>
    </row>
    <row r="86" spans="1:9">
      <c r="A86" t="s">
        <v>124</v>
      </c>
      <c r="B86" t="s">
        <v>12</v>
      </c>
      <c r="C86" s="285" t="s">
        <v>8</v>
      </c>
      <c r="D86" s="286" t="s">
        <v>9</v>
      </c>
      <c r="E86" s="287" t="s">
        <v>9</v>
      </c>
      <c r="G86" t="str">
        <v>Cuarnens</v>
      </c>
      <c r="H86" t="str">
        <v>Cuarnens</v>
      </c>
      <c r="I86" t="str">
        <v>Cuarnens</v>
      </c>
    </row>
    <row r="87" spans="1:9">
      <c r="A87" t="s">
        <v>361</v>
      </c>
      <c r="B87" t="s">
        <v>12</v>
      </c>
      <c r="C87" s="285" t="s">
        <v>9</v>
      </c>
      <c r="D87" s="286" t="s">
        <v>10</v>
      </c>
      <c r="E87" s="287" t="s">
        <v>9</v>
      </c>
      <c r="G87" t="str">
        <v>Cuarny</v>
      </c>
      <c r="H87" t="str">
        <v>Cuarny</v>
      </c>
      <c r="I87" t="str">
        <v>Cuarny</v>
      </c>
    </row>
    <row r="88" spans="1:9">
      <c r="A88" t="s">
        <v>114</v>
      </c>
      <c r="B88" t="s">
        <v>12</v>
      </c>
      <c r="C88" s="285" t="s">
        <v>8</v>
      </c>
      <c r="D88" s="286" t="s">
        <v>9</v>
      </c>
      <c r="E88" s="287" t="s">
        <v>8</v>
      </c>
      <c r="G88" t="str">
        <v>Cudrefin</v>
      </c>
      <c r="H88" t="str">
        <v>Cudrefin</v>
      </c>
      <c r="I88" t="str">
        <v>Cudrefin</v>
      </c>
    </row>
    <row r="89" spans="1:9">
      <c r="A89" t="s">
        <v>150</v>
      </c>
      <c r="B89" t="s">
        <v>12</v>
      </c>
      <c r="C89" s="285" t="s">
        <v>6</v>
      </c>
      <c r="D89" s="286" t="s">
        <v>8</v>
      </c>
      <c r="E89" s="287" t="s">
        <v>8</v>
      </c>
      <c r="G89" t="str">
        <v>Cugy (VD)</v>
      </c>
      <c r="H89" t="str">
        <v>Cugy (VD)</v>
      </c>
      <c r="I89" t="str">
        <v>Cugy (VD)</v>
      </c>
    </row>
    <row r="90" spans="1:9">
      <c r="A90" t="s">
        <v>237</v>
      </c>
      <c r="B90" t="s">
        <v>12</v>
      </c>
      <c r="C90" s="285" t="s">
        <v>10</v>
      </c>
      <c r="D90" s="286" t="s">
        <v>10</v>
      </c>
      <c r="E90" s="287" t="s">
        <v>9</v>
      </c>
      <c r="G90" t="str">
        <v>Curtilles</v>
      </c>
      <c r="H90" t="str">
        <v>Curtilles</v>
      </c>
      <c r="I90" t="str">
        <v>Curtilles</v>
      </c>
    </row>
    <row r="91" spans="1:9">
      <c r="A91" t="s">
        <v>125</v>
      </c>
      <c r="B91" t="s">
        <v>12</v>
      </c>
      <c r="C91" s="285" t="s">
        <v>8</v>
      </c>
      <c r="D91" s="286" t="s">
        <v>8</v>
      </c>
      <c r="E91" s="287" t="s">
        <v>8</v>
      </c>
      <c r="G91" t="str">
        <v>Daillens</v>
      </c>
      <c r="H91" t="str">
        <v>Daillens</v>
      </c>
      <c r="I91" t="str">
        <v>Daillens</v>
      </c>
    </row>
    <row r="92" spans="1:9">
      <c r="A92" t="s">
        <v>362</v>
      </c>
      <c r="B92" t="s">
        <v>12</v>
      </c>
      <c r="C92" s="285" t="s">
        <v>10</v>
      </c>
      <c r="D92" s="286" t="s">
        <v>10</v>
      </c>
      <c r="E92" s="287" t="s">
        <v>10</v>
      </c>
      <c r="G92" t="str">
        <v>Démoret</v>
      </c>
      <c r="H92" t="str">
        <v>Démoret</v>
      </c>
      <c r="I92" t="str">
        <v>Démoret</v>
      </c>
    </row>
    <row r="93" spans="1:9">
      <c r="A93" t="s">
        <v>211</v>
      </c>
      <c r="B93" t="s">
        <v>12</v>
      </c>
      <c r="C93" s="285" t="s">
        <v>8</v>
      </c>
      <c r="D93" s="286" t="s">
        <v>8</v>
      </c>
      <c r="E93" s="287" t="s">
        <v>8</v>
      </c>
      <c r="G93" t="str">
        <v>Denens</v>
      </c>
      <c r="H93" t="str">
        <v>Denens</v>
      </c>
      <c r="I93" t="str">
        <v>Denens</v>
      </c>
    </row>
    <row r="94" spans="1:9">
      <c r="A94" t="s">
        <v>212</v>
      </c>
      <c r="B94" t="s">
        <v>12</v>
      </c>
      <c r="C94" s="285" t="s">
        <v>6</v>
      </c>
      <c r="D94" s="286" t="s">
        <v>6</v>
      </c>
      <c r="E94" s="287" t="s">
        <v>6</v>
      </c>
      <c r="G94" t="str">
        <v>Denges</v>
      </c>
      <c r="H94" t="str">
        <v>Denges</v>
      </c>
      <c r="I94" t="str">
        <v>Denges</v>
      </c>
    </row>
    <row r="95" spans="1:9">
      <c r="A95" t="s">
        <v>126</v>
      </c>
      <c r="B95" t="s">
        <v>12</v>
      </c>
      <c r="C95" s="285" t="s">
        <v>8</v>
      </c>
      <c r="D95" s="286" t="s">
        <v>8</v>
      </c>
      <c r="E95" s="287" t="s">
        <v>9</v>
      </c>
      <c r="G95" t="str">
        <v>Dizy</v>
      </c>
      <c r="H95" t="str">
        <v>Dizy</v>
      </c>
      <c r="I95" t="str">
        <v>Dizy</v>
      </c>
    </row>
    <row r="96" spans="1:9">
      <c r="A96" t="s">
        <v>238</v>
      </c>
      <c r="B96" t="s">
        <v>12</v>
      </c>
      <c r="C96" s="285" t="s">
        <v>10</v>
      </c>
      <c r="D96" s="286" t="s">
        <v>10</v>
      </c>
      <c r="E96" s="287" t="s">
        <v>10</v>
      </c>
      <c r="G96" t="str">
        <v>Dompierre (VD)</v>
      </c>
      <c r="H96" t="str">
        <v>Dompierre (VD)</v>
      </c>
      <c r="I96" t="str">
        <v>Dompierre (VD)</v>
      </c>
    </row>
    <row r="97" spans="1:9">
      <c r="A97" t="s">
        <v>363</v>
      </c>
      <c r="B97" t="s">
        <v>12</v>
      </c>
      <c r="C97" s="285" t="s">
        <v>9</v>
      </c>
      <c r="D97" s="286" t="s">
        <v>9</v>
      </c>
      <c r="E97" s="287" t="s">
        <v>9</v>
      </c>
      <c r="G97" t="str">
        <v>Donneloye</v>
      </c>
      <c r="H97" t="str">
        <v>Donneloye</v>
      </c>
      <c r="I97" t="str">
        <v>Donneloye</v>
      </c>
    </row>
    <row r="98" spans="1:9">
      <c r="A98" t="s">
        <v>264</v>
      </c>
      <c r="B98" t="s">
        <v>12</v>
      </c>
      <c r="C98" s="285" t="s">
        <v>6</v>
      </c>
      <c r="D98" s="286" t="s">
        <v>8</v>
      </c>
      <c r="E98" s="287" t="s">
        <v>8</v>
      </c>
      <c r="G98" t="str">
        <v>Duillier</v>
      </c>
      <c r="H98" t="str">
        <v>Duillier</v>
      </c>
      <c r="I98" t="str">
        <v>Duillier</v>
      </c>
    </row>
    <row r="99" spans="1:9">
      <c r="A99" t="s">
        <v>333</v>
      </c>
      <c r="B99" t="s">
        <v>12</v>
      </c>
      <c r="C99" s="285" t="s">
        <v>6</v>
      </c>
      <c r="D99" s="286" t="s">
        <v>6</v>
      </c>
      <c r="E99" s="287" t="s">
        <v>6</v>
      </c>
      <c r="G99" t="str">
        <v>Dully</v>
      </c>
      <c r="H99" t="str">
        <v>Dully</v>
      </c>
      <c r="I99" t="str">
        <v>Dully</v>
      </c>
    </row>
    <row r="100" spans="1:9">
      <c r="A100" t="s">
        <v>151</v>
      </c>
      <c r="B100" t="s">
        <v>12</v>
      </c>
      <c r="C100" s="285" t="s">
        <v>6</v>
      </c>
      <c r="D100" s="286" t="s">
        <v>6</v>
      </c>
      <c r="E100" s="287" t="s">
        <v>8</v>
      </c>
      <c r="G100" t="str">
        <v>Echallens</v>
      </c>
      <c r="H100" t="str">
        <v>Echallens</v>
      </c>
      <c r="I100" t="str">
        <v>Echallens</v>
      </c>
    </row>
    <row r="101" spans="1:9">
      <c r="A101" t="s">
        <v>213</v>
      </c>
      <c r="B101" t="s">
        <v>12</v>
      </c>
      <c r="C101" s="285" t="s">
        <v>6</v>
      </c>
      <c r="D101" s="286" t="s">
        <v>6</v>
      </c>
      <c r="E101" s="287" t="s">
        <v>6</v>
      </c>
      <c r="G101" t="str">
        <v>Echandens</v>
      </c>
      <c r="H101" t="str">
        <v>Echandens</v>
      </c>
      <c r="I101" t="str">
        <v>Echandens</v>
      </c>
    </row>
    <row r="102" spans="1:9">
      <c r="A102" t="s">
        <v>214</v>
      </c>
      <c r="B102" t="s">
        <v>12</v>
      </c>
      <c r="C102" s="285" t="s">
        <v>6</v>
      </c>
      <c r="D102" s="286" t="s">
        <v>6</v>
      </c>
      <c r="E102" s="287" t="s">
        <v>6</v>
      </c>
      <c r="G102" t="str">
        <v>Echichens</v>
      </c>
      <c r="H102" t="str">
        <v>Echichens</v>
      </c>
      <c r="I102" t="str">
        <v>Echichens</v>
      </c>
    </row>
    <row r="103" spans="1:9">
      <c r="A103" t="s">
        <v>127</v>
      </c>
      <c r="B103" t="s">
        <v>12</v>
      </c>
      <c r="C103" s="285" t="s">
        <v>8</v>
      </c>
      <c r="D103" s="286" t="s">
        <v>6</v>
      </c>
      <c r="E103" s="287" t="s">
        <v>8</v>
      </c>
      <c r="G103" t="str">
        <v>Eclépens</v>
      </c>
      <c r="H103" t="str">
        <v>Eclépens</v>
      </c>
      <c r="I103" t="str">
        <v>Eclépens</v>
      </c>
    </row>
    <row r="104" spans="1:9">
      <c r="A104" t="s">
        <v>215</v>
      </c>
      <c r="B104" t="s">
        <v>12</v>
      </c>
      <c r="C104" s="285" t="s">
        <v>7</v>
      </c>
      <c r="D104" s="286" t="s">
        <v>6</v>
      </c>
      <c r="E104" s="287" t="s">
        <v>6</v>
      </c>
      <c r="G104" t="str">
        <v>Ecublens (VD)</v>
      </c>
      <c r="H104" t="str">
        <v>Ecublens (VD)</v>
      </c>
      <c r="I104" t="str">
        <v>Ecublens (VD)</v>
      </c>
    </row>
    <row r="105" spans="1:9">
      <c r="A105" t="s">
        <v>187</v>
      </c>
      <c r="B105" t="s">
        <v>12</v>
      </c>
      <c r="C105" s="285" t="s">
        <v>7</v>
      </c>
      <c r="D105" s="286" t="s">
        <v>6</v>
      </c>
      <c r="E105" s="287" t="s">
        <v>6</v>
      </c>
      <c r="G105" t="str">
        <v>Epalinges</v>
      </c>
      <c r="H105" t="str">
        <v>Epalinges</v>
      </c>
      <c r="I105" t="str">
        <v>Epalinges</v>
      </c>
    </row>
    <row r="106" spans="1:9">
      <c r="A106" t="s">
        <v>364</v>
      </c>
      <c r="B106" t="s">
        <v>12</v>
      </c>
      <c r="C106" s="285" t="s">
        <v>8</v>
      </c>
      <c r="D106" s="286" t="s">
        <v>10</v>
      </c>
      <c r="E106" s="287" t="s">
        <v>9</v>
      </c>
      <c r="G106" t="str">
        <v>Ependes (VD)</v>
      </c>
      <c r="H106" t="str">
        <v>Ependes (VD)</v>
      </c>
      <c r="I106" t="str">
        <v>Ependes (VD)</v>
      </c>
    </row>
    <row r="107" spans="1:9">
      <c r="A107" t="s">
        <v>334</v>
      </c>
      <c r="B107" t="s">
        <v>12</v>
      </c>
      <c r="C107" s="285" t="s">
        <v>6</v>
      </c>
      <c r="D107" s="286" t="s">
        <v>8</v>
      </c>
      <c r="E107" s="287" t="s">
        <v>8</v>
      </c>
      <c r="G107" t="str">
        <v>Essertines-sur-Rolle</v>
      </c>
      <c r="H107" t="str">
        <v>Essertines-sur-Rolle</v>
      </c>
      <c r="I107" t="str">
        <v>Essertines-sur-Rolle</v>
      </c>
    </row>
    <row r="108" spans="1:9">
      <c r="A108" t="s">
        <v>152</v>
      </c>
      <c r="B108" t="s">
        <v>12</v>
      </c>
      <c r="C108" s="285" t="s">
        <v>8</v>
      </c>
      <c r="D108" s="286" t="s">
        <v>9</v>
      </c>
      <c r="E108" s="287" t="s">
        <v>8</v>
      </c>
      <c r="G108" t="str">
        <v>Essertines-sur-Yverdon</v>
      </c>
      <c r="H108" t="str">
        <v>Essertines-sur-Yverdon</v>
      </c>
      <c r="I108" t="str">
        <v>Essertines-sur-Yverdon</v>
      </c>
    </row>
    <row r="109" spans="1:9">
      <c r="A109" t="s">
        <v>153</v>
      </c>
      <c r="B109" t="s">
        <v>12</v>
      </c>
      <c r="C109" s="285" t="s">
        <v>6</v>
      </c>
      <c r="D109" s="286" t="s">
        <v>6</v>
      </c>
      <c r="E109" s="287" t="s">
        <v>8</v>
      </c>
      <c r="G109" t="str">
        <v>Etagnières</v>
      </c>
      <c r="H109" t="str">
        <v>Etagnières</v>
      </c>
      <c r="I109" t="str">
        <v>Etagnières</v>
      </c>
    </row>
    <row r="110" spans="1:9">
      <c r="A110" t="s">
        <v>216</v>
      </c>
      <c r="B110" t="s">
        <v>12</v>
      </c>
      <c r="C110" s="285" t="s">
        <v>6</v>
      </c>
      <c r="D110" s="286" t="s">
        <v>6</v>
      </c>
      <c r="E110" s="287" t="s">
        <v>6</v>
      </c>
      <c r="G110" t="str">
        <v>Etoy</v>
      </c>
      <c r="H110" t="str">
        <v>Etoy</v>
      </c>
      <c r="I110" t="str">
        <v>Etoy</v>
      </c>
    </row>
    <row r="111" spans="1:9">
      <c r="A111" t="s">
        <v>265</v>
      </c>
      <c r="B111" t="s">
        <v>12</v>
      </c>
      <c r="C111" s="285" t="s">
        <v>6</v>
      </c>
      <c r="D111" s="286" t="s">
        <v>6</v>
      </c>
      <c r="E111" s="287" t="s">
        <v>8</v>
      </c>
      <c r="G111" t="str">
        <v>Eysins</v>
      </c>
      <c r="H111" t="str">
        <v>Eysins</v>
      </c>
      <c r="I111" t="str">
        <v>Eysins</v>
      </c>
    </row>
    <row r="112" spans="1:9">
      <c r="A112" t="s">
        <v>115</v>
      </c>
      <c r="B112" t="s">
        <v>12</v>
      </c>
      <c r="C112" s="285" t="s">
        <v>9</v>
      </c>
      <c r="D112" s="286" t="s">
        <v>9</v>
      </c>
      <c r="E112" s="287" t="s">
        <v>9</v>
      </c>
      <c r="G112" t="str">
        <v>Faoug</v>
      </c>
      <c r="H112" t="str">
        <v>Faoug</v>
      </c>
      <c r="I112" t="str">
        <v>Faoug</v>
      </c>
    </row>
    <row r="113" spans="1:9">
      <c r="A113" t="s">
        <v>104</v>
      </c>
      <c r="B113" t="s">
        <v>12</v>
      </c>
      <c r="C113" s="285" t="s">
        <v>6</v>
      </c>
      <c r="D113" s="286" t="s">
        <v>6</v>
      </c>
      <c r="E113" s="287" t="s">
        <v>8</v>
      </c>
      <c r="G113" t="str">
        <v>Féchy</v>
      </c>
      <c r="H113" t="str">
        <v>Féchy</v>
      </c>
      <c r="I113" t="str">
        <v>Féchy</v>
      </c>
    </row>
    <row r="114" spans="1:9">
      <c r="A114" t="s">
        <v>128</v>
      </c>
      <c r="B114" t="s">
        <v>12</v>
      </c>
      <c r="C114" s="285" t="s">
        <v>8</v>
      </c>
      <c r="D114" s="286" t="s">
        <v>9</v>
      </c>
      <c r="E114" s="287" t="s">
        <v>9</v>
      </c>
      <c r="G114" t="str">
        <v>Ferreyres</v>
      </c>
      <c r="H114" t="str">
        <v>Ferreyres</v>
      </c>
      <c r="I114" t="str">
        <v>Ferreyres</v>
      </c>
    </row>
    <row r="115" spans="1:9">
      <c r="A115" t="s">
        <v>154</v>
      </c>
      <c r="B115" t="s">
        <v>12</v>
      </c>
      <c r="C115" s="285" t="s">
        <v>8</v>
      </c>
      <c r="D115" s="286" t="s">
        <v>9</v>
      </c>
      <c r="E115" s="287" t="s">
        <v>8</v>
      </c>
      <c r="G115" t="str">
        <v>Fey</v>
      </c>
      <c r="H115" t="str">
        <v>Fey</v>
      </c>
      <c r="I115" t="str">
        <v>Fey</v>
      </c>
    </row>
    <row r="116" spans="1:9">
      <c r="A116" t="s">
        <v>172</v>
      </c>
      <c r="B116" t="s">
        <v>12</v>
      </c>
      <c r="C116" s="285" t="s">
        <v>9</v>
      </c>
      <c r="D116" s="286" t="s">
        <v>9</v>
      </c>
      <c r="E116" s="287" t="s">
        <v>9</v>
      </c>
      <c r="G116" t="str">
        <v>Fiez</v>
      </c>
      <c r="H116" t="str">
        <v>Fiez</v>
      </c>
      <c r="I116" t="str">
        <v>Fiez</v>
      </c>
    </row>
    <row r="117" spans="1:9">
      <c r="A117" t="s">
        <v>173</v>
      </c>
      <c r="B117" t="s">
        <v>12</v>
      </c>
      <c r="C117" s="285" t="s">
        <v>9</v>
      </c>
      <c r="D117" s="286" t="s">
        <v>9</v>
      </c>
      <c r="E117" s="287" t="s">
        <v>9</v>
      </c>
      <c r="G117" t="str">
        <v>Fontaines-sur-Grandson</v>
      </c>
      <c r="H117" t="str">
        <v>Fontaines-sur-Grandson</v>
      </c>
      <c r="I117" t="str">
        <v>Fontaines-sur-Grandson</v>
      </c>
    </row>
    <row r="118" spans="1:9">
      <c r="A118" t="s">
        <v>197</v>
      </c>
      <c r="B118" t="s">
        <v>12</v>
      </c>
      <c r="C118" s="285" t="s">
        <v>6</v>
      </c>
      <c r="D118" s="286" t="s">
        <v>8</v>
      </c>
      <c r="E118" s="287" t="s">
        <v>9</v>
      </c>
      <c r="G118" t="str">
        <v>Forel (Lavaux)</v>
      </c>
      <c r="H118" t="str">
        <v>Forel (Lavaux)</v>
      </c>
      <c r="I118" t="str">
        <v>Forel (Lavaux)</v>
      </c>
    </row>
    <row r="119" spans="1:9">
      <c r="A119" t="s">
        <v>266</v>
      </c>
      <c r="B119" t="s">
        <v>12</v>
      </c>
      <c r="C119" s="285" t="s">
        <v>6</v>
      </c>
      <c r="D119" s="286" t="s">
        <v>6</v>
      </c>
      <c r="E119" s="287" t="s">
        <v>6</v>
      </c>
      <c r="G119" t="str">
        <v>Founex</v>
      </c>
      <c r="H119" t="str">
        <v>Founex</v>
      </c>
      <c r="I119" t="str">
        <v>Founex</v>
      </c>
    </row>
    <row r="120" spans="1:9">
      <c r="A120" t="s">
        <v>155</v>
      </c>
      <c r="B120" t="s">
        <v>12</v>
      </c>
      <c r="C120" s="285" t="s">
        <v>6</v>
      </c>
      <c r="D120" s="286" t="s">
        <v>8</v>
      </c>
      <c r="E120" s="287" t="s">
        <v>8</v>
      </c>
      <c r="G120" t="str">
        <v>Froideville</v>
      </c>
      <c r="H120" t="str">
        <v>Froideville</v>
      </c>
      <c r="I120" t="str">
        <v>Froideville</v>
      </c>
    </row>
    <row r="121" spans="1:9">
      <c r="A121" t="s">
        <v>267</v>
      </c>
      <c r="B121" t="s">
        <v>12</v>
      </c>
      <c r="C121" s="285" t="s">
        <v>6</v>
      </c>
      <c r="D121" s="286" t="s">
        <v>6</v>
      </c>
      <c r="E121" s="287" t="s">
        <v>6</v>
      </c>
      <c r="G121" t="str">
        <v>Genolier</v>
      </c>
      <c r="H121" t="str">
        <v>Genolier</v>
      </c>
      <c r="I121" t="str">
        <v>Genolier</v>
      </c>
    </row>
    <row r="122" spans="1:9">
      <c r="A122" t="s">
        <v>174</v>
      </c>
      <c r="B122" t="s">
        <v>12</v>
      </c>
      <c r="C122" s="285" t="s">
        <v>8</v>
      </c>
      <c r="D122" s="286" t="s">
        <v>8</v>
      </c>
      <c r="E122" s="287" t="s">
        <v>9</v>
      </c>
      <c r="G122" t="str">
        <v>Giez</v>
      </c>
      <c r="H122" t="str">
        <v>Giez</v>
      </c>
      <c r="I122" t="str">
        <v>Giez</v>
      </c>
    </row>
    <row r="123" spans="1:9">
      <c r="A123" t="s">
        <v>335</v>
      </c>
      <c r="B123" t="s">
        <v>12</v>
      </c>
      <c r="C123" s="285" t="s">
        <v>6</v>
      </c>
      <c r="D123" s="286" t="s">
        <v>6</v>
      </c>
      <c r="E123" s="287" t="s">
        <v>8</v>
      </c>
      <c r="G123" t="str">
        <v>Gilly</v>
      </c>
      <c r="H123" t="str">
        <v>Gilly</v>
      </c>
      <c r="I123" t="str">
        <v>Gilly</v>
      </c>
    </row>
    <row r="124" spans="1:9">
      <c r="A124" t="s">
        <v>105</v>
      </c>
      <c r="B124" t="s">
        <v>12</v>
      </c>
      <c r="C124" s="285" t="s">
        <v>6</v>
      </c>
      <c r="D124" s="286" t="s">
        <v>8</v>
      </c>
      <c r="E124" s="287" t="s">
        <v>8</v>
      </c>
      <c r="G124" t="str">
        <v>Gimel</v>
      </c>
      <c r="H124" t="str">
        <v>Gimel</v>
      </c>
      <c r="I124" t="str">
        <v>Gimel</v>
      </c>
    </row>
    <row r="125" spans="1:9">
      <c r="A125" t="s">
        <v>268</v>
      </c>
      <c r="B125" t="s">
        <v>12</v>
      </c>
      <c r="C125" s="285" t="s">
        <v>6</v>
      </c>
      <c r="D125" s="286" t="s">
        <v>8</v>
      </c>
      <c r="E125" s="287" t="s">
        <v>8</v>
      </c>
      <c r="G125" t="str">
        <v>Gingins</v>
      </c>
      <c r="H125" t="str">
        <v>Gingins</v>
      </c>
      <c r="I125" t="str">
        <v>Gingins</v>
      </c>
    </row>
    <row r="126" spans="1:9">
      <c r="A126" t="s">
        <v>269</v>
      </c>
      <c r="B126" t="s">
        <v>12</v>
      </c>
      <c r="C126" s="285" t="s">
        <v>6</v>
      </c>
      <c r="D126" s="286" t="s">
        <v>8</v>
      </c>
      <c r="E126" s="287" t="s">
        <v>8</v>
      </c>
      <c r="G126" t="str">
        <v>Givrins</v>
      </c>
      <c r="H126" t="str">
        <v>Givrins</v>
      </c>
      <c r="I126" t="str">
        <v>Givrins</v>
      </c>
    </row>
    <row r="127" spans="1:9">
      <c r="A127" t="s">
        <v>270</v>
      </c>
      <c r="B127" t="s">
        <v>12</v>
      </c>
      <c r="C127" s="285" t="s">
        <v>6</v>
      </c>
      <c r="D127" s="286" t="s">
        <v>6</v>
      </c>
      <c r="E127" s="287" t="s">
        <v>6</v>
      </c>
      <c r="G127" t="str">
        <v>Gland</v>
      </c>
      <c r="H127" t="str">
        <v>Gland</v>
      </c>
      <c r="I127" t="str">
        <v>Gland</v>
      </c>
    </row>
    <row r="128" spans="1:9">
      <c r="A128" t="s">
        <v>129</v>
      </c>
      <c r="B128" t="s">
        <v>12</v>
      </c>
      <c r="C128" s="285" t="s">
        <v>8</v>
      </c>
      <c r="D128" s="286" t="s">
        <v>8</v>
      </c>
      <c r="E128" s="287" t="s">
        <v>8</v>
      </c>
      <c r="G128" t="str">
        <v>Gollion</v>
      </c>
      <c r="H128" t="str">
        <v>Gollion</v>
      </c>
      <c r="I128" t="str">
        <v>Gollion</v>
      </c>
    </row>
    <row r="129" spans="1:9">
      <c r="A129" t="s">
        <v>166</v>
      </c>
      <c r="B129" t="s">
        <v>12</v>
      </c>
      <c r="C129" s="285" t="s">
        <v>8</v>
      </c>
      <c r="D129" s="286" t="s">
        <v>8</v>
      </c>
      <c r="E129" s="287" t="s">
        <v>8</v>
      </c>
      <c r="G129" t="str">
        <v>Goumoëns</v>
      </c>
      <c r="H129" t="str">
        <v>Goumoëns</v>
      </c>
      <c r="I129" t="str">
        <v>Goumoëns</v>
      </c>
    </row>
    <row r="130" spans="1:9">
      <c r="A130" t="s">
        <v>130</v>
      </c>
      <c r="B130" t="s">
        <v>12</v>
      </c>
      <c r="C130" s="285" t="s">
        <v>8</v>
      </c>
      <c r="D130" s="286" t="s">
        <v>8</v>
      </c>
      <c r="E130" s="287" t="s">
        <v>8</v>
      </c>
      <c r="G130" t="str">
        <v>Grancy</v>
      </c>
      <c r="H130" t="str">
        <v>Grancy</v>
      </c>
      <c r="I130" t="str">
        <v>Grancy</v>
      </c>
    </row>
    <row r="131" spans="1:9">
      <c r="A131" t="s">
        <v>318</v>
      </c>
      <c r="B131" t="s">
        <v>12</v>
      </c>
      <c r="C131" s="285" t="s">
        <v>9</v>
      </c>
      <c r="D131" s="286" t="s">
        <v>10</v>
      </c>
      <c r="E131" s="287" t="s">
        <v>9</v>
      </c>
      <c r="G131" t="str">
        <v>Grandcour</v>
      </c>
      <c r="H131" t="str">
        <v>Grandcour</v>
      </c>
      <c r="I131" t="str">
        <v>Grandcour</v>
      </c>
    </row>
    <row r="132" spans="1:9">
      <c r="A132" t="s">
        <v>175</v>
      </c>
      <c r="B132" t="s">
        <v>12</v>
      </c>
      <c r="C132" s="285" t="s">
        <v>9</v>
      </c>
      <c r="D132" s="286" t="s">
        <v>9</v>
      </c>
      <c r="E132" s="287" t="s">
        <v>9</v>
      </c>
      <c r="G132" t="str">
        <v>Grandevent</v>
      </c>
      <c r="H132" t="str">
        <v>Grandevent</v>
      </c>
      <c r="I132" t="str">
        <v>Grandevent</v>
      </c>
    </row>
    <row r="133" spans="1:9">
      <c r="A133" t="s">
        <v>176</v>
      </c>
      <c r="B133" t="s">
        <v>12</v>
      </c>
      <c r="C133" s="285" t="s">
        <v>6</v>
      </c>
      <c r="D133" s="286" t="s">
        <v>6</v>
      </c>
      <c r="E133" s="287" t="s">
        <v>8</v>
      </c>
      <c r="G133" t="str">
        <v>Grandson</v>
      </c>
      <c r="H133" t="str">
        <v>Grandson</v>
      </c>
      <c r="I133" t="str">
        <v>Grandson</v>
      </c>
    </row>
    <row r="134" spans="1:9">
      <c r="A134" t="s">
        <v>271</v>
      </c>
      <c r="B134" t="s">
        <v>12</v>
      </c>
      <c r="C134" s="285" t="s">
        <v>6</v>
      </c>
      <c r="D134" s="286" t="s">
        <v>6</v>
      </c>
      <c r="E134" s="287" t="s">
        <v>8</v>
      </c>
      <c r="G134" t="str">
        <v>Grens</v>
      </c>
      <c r="H134" t="str">
        <v>Grens</v>
      </c>
      <c r="I134" t="str">
        <v>Grens</v>
      </c>
    </row>
    <row r="135" spans="1:9">
      <c r="A135" t="s">
        <v>88</v>
      </c>
      <c r="B135" t="s">
        <v>12</v>
      </c>
      <c r="C135" s="285" t="s">
        <v>8</v>
      </c>
      <c r="D135" s="286" t="s">
        <v>8</v>
      </c>
      <c r="E135" s="287" t="s">
        <v>8</v>
      </c>
      <c r="G135" t="str">
        <v>Gryon</v>
      </c>
      <c r="H135" t="str">
        <v>Gryon</v>
      </c>
      <c r="I135" t="str">
        <v>Gryon</v>
      </c>
    </row>
    <row r="136" spans="1:9">
      <c r="A136" t="s">
        <v>233</v>
      </c>
      <c r="B136" t="s">
        <v>12</v>
      </c>
      <c r="C136" s="285" t="s">
        <v>6</v>
      </c>
      <c r="D136" s="286" t="s">
        <v>8</v>
      </c>
      <c r="E136" s="287" t="s">
        <v>8</v>
      </c>
      <c r="G136" t="str">
        <v>Hautemorges</v>
      </c>
      <c r="H136" t="str">
        <v>Hautemorges</v>
      </c>
      <c r="I136" t="str">
        <v>Hautemorges</v>
      </c>
    </row>
    <row r="137" spans="1:9">
      <c r="A137" t="s">
        <v>319</v>
      </c>
      <c r="B137" t="s">
        <v>12</v>
      </c>
      <c r="C137" s="285" t="s">
        <v>10</v>
      </c>
      <c r="D137" s="286" t="s">
        <v>10</v>
      </c>
      <c r="E137" s="287" t="s">
        <v>10</v>
      </c>
      <c r="G137" t="str">
        <v>Henniez</v>
      </c>
      <c r="H137" t="str">
        <v>Henniez</v>
      </c>
      <c r="I137" t="str">
        <v>Henniez</v>
      </c>
    </row>
    <row r="138" spans="1:9">
      <c r="A138" t="s">
        <v>239</v>
      </c>
      <c r="B138" t="s">
        <v>12</v>
      </c>
      <c r="C138" s="285" t="s">
        <v>9</v>
      </c>
      <c r="D138" s="286" t="s">
        <v>10</v>
      </c>
      <c r="E138" s="287" t="s">
        <v>9</v>
      </c>
      <c r="G138" t="str">
        <v>Hermenches</v>
      </c>
      <c r="H138" t="str">
        <v>Hermenches</v>
      </c>
      <c r="I138" t="str">
        <v>Hermenches</v>
      </c>
    </row>
    <row r="139" spans="1:9">
      <c r="A139" t="s">
        <v>348</v>
      </c>
      <c r="B139" t="s">
        <v>12</v>
      </c>
      <c r="C139" s="285" t="s">
        <v>6</v>
      </c>
      <c r="D139" s="286" t="s">
        <v>6</v>
      </c>
      <c r="E139" s="287" t="s">
        <v>8</v>
      </c>
      <c r="G139" t="str">
        <v>Jongny</v>
      </c>
      <c r="H139" t="str">
        <v>Jongny</v>
      </c>
      <c r="I139" t="str">
        <v>Jongny</v>
      </c>
    </row>
    <row r="140" spans="1:9">
      <c r="A140" t="s">
        <v>312</v>
      </c>
      <c r="B140" t="s">
        <v>12</v>
      </c>
      <c r="C140" s="285" t="s">
        <v>8</v>
      </c>
      <c r="D140" s="286" t="s">
        <v>9</v>
      </c>
      <c r="E140" s="287" t="s">
        <v>9</v>
      </c>
      <c r="G140" t="str">
        <v>Jorat-Menthue</v>
      </c>
      <c r="H140" t="str">
        <v>Jorat-Menthue</v>
      </c>
      <c r="I140" t="str">
        <v>Jorat-Menthue</v>
      </c>
    </row>
    <row r="141" spans="1:9">
      <c r="A141" t="s">
        <v>314</v>
      </c>
      <c r="B141" t="s">
        <v>12</v>
      </c>
      <c r="C141" s="285" t="s">
        <v>8</v>
      </c>
      <c r="D141" s="286" t="s">
        <v>8</v>
      </c>
      <c r="E141" s="287" t="s">
        <v>8</v>
      </c>
      <c r="G141" t="str">
        <v>Jorat-Mézières</v>
      </c>
      <c r="H141" t="str">
        <v>Jorat-Mézières</v>
      </c>
      <c r="I141" t="str">
        <v>Jorat-Mézières</v>
      </c>
    </row>
    <row r="142" spans="1:9">
      <c r="A142" t="s">
        <v>188</v>
      </c>
      <c r="B142" t="s">
        <v>12</v>
      </c>
      <c r="C142" s="285" t="s">
        <v>6</v>
      </c>
      <c r="D142" s="286" t="s">
        <v>6</v>
      </c>
      <c r="E142" s="287" t="s">
        <v>6</v>
      </c>
      <c r="G142" t="str">
        <v>Jouxtens-Mézery</v>
      </c>
      <c r="H142" t="str">
        <v>Jouxtens-Mézery</v>
      </c>
      <c r="I142" t="str">
        <v>Jouxtens-Mézery</v>
      </c>
    </row>
    <row r="143" spans="1:9">
      <c r="A143" t="s">
        <v>293</v>
      </c>
      <c r="B143" t="s">
        <v>12</v>
      </c>
      <c r="C143" s="285" t="s">
        <v>9</v>
      </c>
      <c r="D143" s="286" t="s">
        <v>10</v>
      </c>
      <c r="E143" s="287" t="s">
        <v>10</v>
      </c>
      <c r="G143" t="str">
        <v>Juriens</v>
      </c>
      <c r="H143" t="str">
        <v>Juriens</v>
      </c>
      <c r="I143" t="str">
        <v>Juriens</v>
      </c>
    </row>
    <row r="144" spans="1:9">
      <c r="A144" t="s">
        <v>120</v>
      </c>
      <c r="B144" t="s">
        <v>12</v>
      </c>
      <c r="C144" s="285" t="s">
        <v>9</v>
      </c>
      <c r="D144" s="286" t="s">
        <v>9</v>
      </c>
      <c r="E144" s="287" t="s">
        <v>8</v>
      </c>
      <c r="G144" t="str">
        <v>La Chaux (Cossonay)</v>
      </c>
      <c r="H144" t="str">
        <v>La Chaux (Cossonay)</v>
      </c>
      <c r="I144" t="str">
        <v>La Chaux (Cossonay)</v>
      </c>
    </row>
    <row r="145" spans="1:9">
      <c r="A145" t="s">
        <v>297</v>
      </c>
      <c r="B145" t="s">
        <v>12</v>
      </c>
      <c r="C145" s="285" t="s">
        <v>9</v>
      </c>
      <c r="D145" s="286" t="s">
        <v>10</v>
      </c>
      <c r="E145" s="287" t="s">
        <v>9</v>
      </c>
      <c r="G145" t="str">
        <v>La Praz</v>
      </c>
      <c r="H145" t="str">
        <v>La Praz</v>
      </c>
      <c r="I145" t="str">
        <v>La Praz</v>
      </c>
    </row>
    <row r="146" spans="1:9">
      <c r="A146" t="s">
        <v>275</v>
      </c>
      <c r="B146" t="s">
        <v>12</v>
      </c>
      <c r="C146" s="285" t="s">
        <v>8</v>
      </c>
      <c r="D146" s="286" t="s">
        <v>8</v>
      </c>
      <c r="E146" s="287" t="s">
        <v>8</v>
      </c>
      <c r="G146" t="str">
        <v>La Rippe</v>
      </c>
      <c r="H146" t="str">
        <v>La Rippe</v>
      </c>
      <c r="I146" t="str">
        <v>La Rippe</v>
      </c>
    </row>
    <row r="147" spans="1:9">
      <c r="A147" t="s">
        <v>142</v>
      </c>
      <c r="B147" t="s">
        <v>12</v>
      </c>
      <c r="C147" s="285" t="s">
        <v>8</v>
      </c>
      <c r="D147" s="286" t="s">
        <v>8</v>
      </c>
      <c r="E147" s="287" t="s">
        <v>8</v>
      </c>
      <c r="G147" t="str">
        <v>La Sarraz</v>
      </c>
      <c r="H147" t="str">
        <v>La Sarraz</v>
      </c>
      <c r="I147" t="str">
        <v>La Sarraz</v>
      </c>
    </row>
    <row r="148" spans="1:9">
      <c r="A148" t="s">
        <v>350</v>
      </c>
      <c r="B148" t="s">
        <v>12</v>
      </c>
      <c r="C148" s="285" t="s">
        <v>6</v>
      </c>
      <c r="D148" s="286" t="s">
        <v>6</v>
      </c>
      <c r="E148" s="287" t="s">
        <v>6</v>
      </c>
      <c r="G148" t="str">
        <v>La Tour-de-Peilz</v>
      </c>
      <c r="H148" t="str">
        <v>La Tour-de-Peilz</v>
      </c>
      <c r="I148" t="str">
        <v>La Tour-de-Peilz</v>
      </c>
    </row>
    <row r="149" spans="1:9">
      <c r="A149" t="s">
        <v>342</v>
      </c>
      <c r="B149" t="s">
        <v>12</v>
      </c>
      <c r="C149" s="285" t="s">
        <v>10</v>
      </c>
      <c r="D149" s="286" t="s">
        <v>10</v>
      </c>
      <c r="E149" s="287" t="s">
        <v>10</v>
      </c>
      <c r="G149" t="str">
        <v>L'Abbaye</v>
      </c>
      <c r="H149" t="str">
        <v>L'Abbaye</v>
      </c>
      <c r="I149" t="str">
        <v>L'Abbaye</v>
      </c>
    </row>
    <row r="150" spans="1:9">
      <c r="A150" t="s">
        <v>282</v>
      </c>
      <c r="B150" t="s">
        <v>12</v>
      </c>
      <c r="C150" s="285" t="s">
        <v>9</v>
      </c>
      <c r="D150" s="286" t="s">
        <v>10</v>
      </c>
      <c r="E150" s="287" t="s">
        <v>9</v>
      </c>
      <c r="G150" t="str">
        <v>L'Abergement</v>
      </c>
      <c r="H150" t="str">
        <v>L'Abergement</v>
      </c>
      <c r="I150" t="str">
        <v>L'Abergement</v>
      </c>
    </row>
    <row r="151" spans="1:9">
      <c r="A151" t="s">
        <v>189</v>
      </c>
      <c r="B151" t="s">
        <v>12</v>
      </c>
      <c r="C151" s="285" t="s">
        <v>7</v>
      </c>
      <c r="D151" s="286" t="s">
        <v>7</v>
      </c>
      <c r="E151" s="287" t="s">
        <v>6</v>
      </c>
      <c r="G151" t="str">
        <v>Lausanne</v>
      </c>
      <c r="H151" t="str">
        <v>Lausanne</v>
      </c>
      <c r="I151" t="str">
        <v>Lausanne</v>
      </c>
    </row>
    <row r="152" spans="1:9">
      <c r="A152" t="s">
        <v>89</v>
      </c>
      <c r="B152" t="s">
        <v>12</v>
      </c>
      <c r="C152" s="285" t="s">
        <v>9</v>
      </c>
      <c r="D152" s="286" t="s">
        <v>10</v>
      </c>
      <c r="E152" s="287" t="s">
        <v>10</v>
      </c>
      <c r="G152" t="str">
        <v>Lavey-Morcles</v>
      </c>
      <c r="H152" t="str">
        <v>Lavey-Morcles</v>
      </c>
      <c r="I152" t="str">
        <v>Lavey-Morcles</v>
      </c>
    </row>
    <row r="153" spans="1:9">
      <c r="A153" t="s">
        <v>217</v>
      </c>
      <c r="B153" t="s">
        <v>12</v>
      </c>
      <c r="C153" s="285" t="s">
        <v>6</v>
      </c>
      <c r="D153" s="286" t="s">
        <v>8</v>
      </c>
      <c r="E153" s="287" t="s">
        <v>8</v>
      </c>
      <c r="G153" t="str">
        <v>Lavigny</v>
      </c>
      <c r="H153" t="str">
        <v>Lavigny</v>
      </c>
      <c r="I153" t="str">
        <v>Lavigny</v>
      </c>
    </row>
    <row r="154" spans="1:9">
      <c r="A154" t="s">
        <v>343</v>
      </c>
      <c r="B154" t="s">
        <v>12</v>
      </c>
      <c r="C154" s="285" t="s">
        <v>9</v>
      </c>
      <c r="D154" s="286" t="s">
        <v>10</v>
      </c>
      <c r="E154" s="287" t="s">
        <v>10</v>
      </c>
      <c r="G154" t="str">
        <v>Le Chenit</v>
      </c>
      <c r="H154" t="str">
        <v>Le Chenit</v>
      </c>
      <c r="I154" t="str">
        <v>Le Chenit</v>
      </c>
    </row>
    <row r="155" spans="1:9">
      <c r="A155" t="s">
        <v>344</v>
      </c>
      <c r="B155" t="s">
        <v>12</v>
      </c>
      <c r="C155" s="285" t="s">
        <v>10</v>
      </c>
      <c r="D155" s="286" t="s">
        <v>10</v>
      </c>
      <c r="E155" s="287" t="s">
        <v>10</v>
      </c>
      <c r="G155" t="str">
        <v>Le Lieu</v>
      </c>
      <c r="H155" t="str">
        <v>Le Lieu</v>
      </c>
      <c r="I155" t="str">
        <v>Le Lieu</v>
      </c>
    </row>
    <row r="156" spans="1:9">
      <c r="A156" t="s">
        <v>190</v>
      </c>
      <c r="B156" t="s">
        <v>12</v>
      </c>
      <c r="C156" s="285" t="s">
        <v>7</v>
      </c>
      <c r="D156" s="286" t="s">
        <v>7</v>
      </c>
      <c r="E156" s="287" t="s">
        <v>6</v>
      </c>
      <c r="G156" t="str">
        <v>Le Mont-sur-Lausanne</v>
      </c>
      <c r="H156" t="str">
        <v>Le Mont-sur-Lausanne</v>
      </c>
      <c r="I156" t="str">
        <v>Le Mont-sur-Lausanne</v>
      </c>
    </row>
    <row r="157" spans="1:9">
      <c r="A157" t="s">
        <v>280</v>
      </c>
      <c r="B157" t="s">
        <v>12</v>
      </c>
      <c r="C157" s="285" t="s">
        <v>8</v>
      </c>
      <c r="D157" s="286" t="s">
        <v>8</v>
      </c>
      <c r="E157" s="287" t="s">
        <v>8</v>
      </c>
      <c r="G157" t="str">
        <v>Le Vaud</v>
      </c>
      <c r="H157" t="str">
        <v>Le Vaud</v>
      </c>
      <c r="I157" t="str">
        <v>Le Vaud</v>
      </c>
    </row>
    <row r="158" spans="1:9">
      <c r="A158" t="s">
        <v>291</v>
      </c>
      <c r="B158" t="s">
        <v>12</v>
      </c>
      <c r="C158" s="285" t="s">
        <v>9</v>
      </c>
      <c r="D158" s="286" t="s">
        <v>10</v>
      </c>
      <c r="E158" s="287" t="s">
        <v>10</v>
      </c>
      <c r="G158" t="str">
        <v>Les Clées</v>
      </c>
      <c r="H158" t="str">
        <v>Les Clées</v>
      </c>
      <c r="I158" t="str">
        <v>Les Clées</v>
      </c>
    </row>
    <row r="159" spans="1:9">
      <c r="A159" t="s">
        <v>90</v>
      </c>
      <c r="B159" t="s">
        <v>12</v>
      </c>
      <c r="C159" s="285" t="s">
        <v>9</v>
      </c>
      <c r="D159" s="286" t="s">
        <v>10</v>
      </c>
      <c r="E159" s="287" t="s">
        <v>9</v>
      </c>
      <c r="G159" t="str">
        <v>Leysin</v>
      </c>
      <c r="H159" t="str">
        <v>Leysin</v>
      </c>
      <c r="I159" t="str">
        <v>Leysin</v>
      </c>
    </row>
    <row r="160" spans="1:9">
      <c r="A160" t="s">
        <v>294</v>
      </c>
      <c r="B160" t="s">
        <v>12</v>
      </c>
      <c r="C160" s="285" t="s">
        <v>9</v>
      </c>
      <c r="D160" s="286" t="s">
        <v>10</v>
      </c>
      <c r="E160" s="287" t="s">
        <v>10</v>
      </c>
      <c r="G160" t="str">
        <v>Lignerolle</v>
      </c>
      <c r="H160" t="str">
        <v>Lignerolle</v>
      </c>
      <c r="I160" t="str">
        <v>Lignerolle</v>
      </c>
    </row>
    <row r="161" spans="1:9">
      <c r="A161" t="s">
        <v>131</v>
      </c>
      <c r="B161" t="s">
        <v>12</v>
      </c>
      <c r="C161" s="285" t="s">
        <v>8</v>
      </c>
      <c r="D161" s="286" t="s">
        <v>9</v>
      </c>
      <c r="E161" s="287" t="s">
        <v>8</v>
      </c>
      <c r="G161" t="str">
        <v>L'Isle</v>
      </c>
      <c r="H161" t="str">
        <v>L'Isle</v>
      </c>
      <c r="I161" t="str">
        <v>L'Isle</v>
      </c>
    </row>
    <row r="162" spans="1:9">
      <c r="A162" t="s">
        <v>218</v>
      </c>
      <c r="B162" t="s">
        <v>12</v>
      </c>
      <c r="C162" s="285" t="s">
        <v>6</v>
      </c>
      <c r="D162" s="286" t="s">
        <v>7</v>
      </c>
      <c r="E162" s="287" t="s">
        <v>6</v>
      </c>
      <c r="G162" t="str">
        <v>Lonay</v>
      </c>
      <c r="H162" t="str">
        <v>Lonay</v>
      </c>
      <c r="I162" t="str">
        <v>Lonay</v>
      </c>
    </row>
    <row r="163" spans="1:9">
      <c r="A163" t="s">
        <v>106</v>
      </c>
      <c r="B163" t="s">
        <v>12</v>
      </c>
      <c r="C163" s="285" t="s">
        <v>8</v>
      </c>
      <c r="D163" s="286" t="s">
        <v>9</v>
      </c>
      <c r="E163" s="287" t="s">
        <v>8</v>
      </c>
      <c r="G163" t="str">
        <v>Longirod</v>
      </c>
      <c r="H163" t="str">
        <v>Longirod</v>
      </c>
      <c r="I163" t="str">
        <v>Longirod</v>
      </c>
    </row>
    <row r="164" spans="1:9">
      <c r="A164" t="s">
        <v>240</v>
      </c>
      <c r="B164" t="s">
        <v>12</v>
      </c>
      <c r="C164" s="285" t="s">
        <v>10</v>
      </c>
      <c r="D164" s="286" t="s">
        <v>10</v>
      </c>
      <c r="E164" s="287" t="s">
        <v>10</v>
      </c>
      <c r="G164" t="str">
        <v>Lovatens</v>
      </c>
      <c r="H164" t="str">
        <v>Lovatens</v>
      </c>
      <c r="I164" t="str">
        <v>Lovatens</v>
      </c>
    </row>
    <row r="165" spans="1:9">
      <c r="A165" t="s">
        <v>241</v>
      </c>
      <c r="B165" t="s">
        <v>12</v>
      </c>
      <c r="C165" s="285" t="s">
        <v>9</v>
      </c>
      <c r="D165" s="286" t="s">
        <v>9</v>
      </c>
      <c r="E165" s="287" t="s">
        <v>9</v>
      </c>
      <c r="G165" t="str">
        <v>Lucens</v>
      </c>
      <c r="H165" t="str">
        <v>Lucens</v>
      </c>
      <c r="I165" t="str">
        <v>Lucens</v>
      </c>
    </row>
    <row r="166" spans="1:9">
      <c r="A166" t="s">
        <v>336</v>
      </c>
      <c r="B166" t="s">
        <v>12</v>
      </c>
      <c r="C166" s="285" t="s">
        <v>6</v>
      </c>
      <c r="D166" s="286" t="s">
        <v>6</v>
      </c>
      <c r="E166" s="287" t="s">
        <v>8</v>
      </c>
      <c r="G166" t="str">
        <v>Luins</v>
      </c>
      <c r="H166" t="str">
        <v>Luins</v>
      </c>
      <c r="I166" t="str">
        <v>Luins</v>
      </c>
    </row>
    <row r="167" spans="1:9">
      <c r="A167" t="s">
        <v>219</v>
      </c>
      <c r="B167" t="s">
        <v>12</v>
      </c>
      <c r="C167" s="285" t="s">
        <v>6</v>
      </c>
      <c r="D167" s="286" t="s">
        <v>6</v>
      </c>
      <c r="E167" s="287" t="s">
        <v>6</v>
      </c>
      <c r="G167" t="str">
        <v>Lully (VD)</v>
      </c>
      <c r="H167" t="str">
        <v>Lully (VD)</v>
      </c>
      <c r="I167" t="str">
        <v>Lully (VD)</v>
      </c>
    </row>
    <row r="168" spans="1:9">
      <c r="A168" t="s">
        <v>132</v>
      </c>
      <c r="B168" t="s">
        <v>12</v>
      </c>
      <c r="C168" s="285" t="s">
        <v>8</v>
      </c>
      <c r="D168" s="286" t="s">
        <v>8</v>
      </c>
      <c r="E168" s="287" t="s">
        <v>9</v>
      </c>
      <c r="G168" t="str">
        <v>Lussery-Villars</v>
      </c>
      <c r="H168" t="str">
        <v>Lussery-Villars</v>
      </c>
      <c r="I168" t="str">
        <v>Lussery-Villars</v>
      </c>
    </row>
    <row r="169" spans="1:9">
      <c r="A169" t="s">
        <v>220</v>
      </c>
      <c r="B169" t="s">
        <v>12</v>
      </c>
      <c r="C169" s="285" t="s">
        <v>6</v>
      </c>
      <c r="D169" s="286" t="s">
        <v>8</v>
      </c>
      <c r="E169" s="287" t="s">
        <v>6</v>
      </c>
      <c r="G169" t="str">
        <v>Lussy-sur-Morges</v>
      </c>
      <c r="H169" t="str">
        <v>Lussy-sur-Morges</v>
      </c>
      <c r="I169" t="str">
        <v>Lussy-sur-Morges</v>
      </c>
    </row>
    <row r="170" spans="1:9">
      <c r="A170" t="s">
        <v>198</v>
      </c>
      <c r="B170" t="s">
        <v>12</v>
      </c>
      <c r="C170" s="285" t="s">
        <v>7</v>
      </c>
      <c r="D170" s="286" t="s">
        <v>7</v>
      </c>
      <c r="E170" s="287" t="s">
        <v>6</v>
      </c>
      <c r="G170" t="str">
        <v>Lutry</v>
      </c>
      <c r="H170" t="str">
        <v>Lutry</v>
      </c>
      <c r="I170" t="str">
        <v>Lutry</v>
      </c>
    </row>
    <row r="171" spans="1:9">
      <c r="A171" t="s">
        <v>307</v>
      </c>
      <c r="B171" t="s">
        <v>12</v>
      </c>
      <c r="C171" s="285" t="s">
        <v>9</v>
      </c>
      <c r="D171" s="286" t="s">
        <v>9</v>
      </c>
      <c r="E171" s="287" t="s">
        <v>9</v>
      </c>
      <c r="G171" t="str">
        <v>Maracon</v>
      </c>
      <c r="H171" t="str">
        <v>Maracon</v>
      </c>
      <c r="I171" t="str">
        <v>Maracon</v>
      </c>
    </row>
    <row r="172" spans="1:9">
      <c r="A172" t="s">
        <v>107</v>
      </c>
      <c r="B172" t="s">
        <v>12</v>
      </c>
      <c r="C172" s="285" t="s">
        <v>8</v>
      </c>
      <c r="D172" s="286" t="s">
        <v>8</v>
      </c>
      <c r="E172" s="287" t="s">
        <v>9</v>
      </c>
      <c r="G172" t="str">
        <v>Marchissy</v>
      </c>
      <c r="H172" t="str">
        <v>Marchissy</v>
      </c>
      <c r="I172" t="str">
        <v>Marchissy</v>
      </c>
    </row>
    <row r="173" spans="1:9">
      <c r="A173" t="s">
        <v>365</v>
      </c>
      <c r="B173" t="s">
        <v>12</v>
      </c>
      <c r="C173" s="285" t="s">
        <v>8</v>
      </c>
      <c r="D173" s="286" t="s">
        <v>8</v>
      </c>
      <c r="E173" s="287" t="s">
        <v>9</v>
      </c>
      <c r="G173" t="str">
        <v>Mathod</v>
      </c>
      <c r="H173" t="str">
        <v>Mathod</v>
      </c>
      <c r="I173" t="str">
        <v>Mathod</v>
      </c>
    </row>
    <row r="174" spans="1:9">
      <c r="A174" t="s">
        <v>177</v>
      </c>
      <c r="B174" t="s">
        <v>12</v>
      </c>
      <c r="C174" s="285" t="s">
        <v>9</v>
      </c>
      <c r="D174" s="286" t="s">
        <v>10</v>
      </c>
      <c r="E174" s="287" t="s">
        <v>9</v>
      </c>
      <c r="G174" t="str">
        <v>Mauborget</v>
      </c>
      <c r="H174" t="str">
        <v>Mauborget</v>
      </c>
      <c r="I174" t="str">
        <v>Mauborget</v>
      </c>
    </row>
    <row r="175" spans="1:9">
      <c r="A175" t="s">
        <v>133</v>
      </c>
      <c r="B175" t="s">
        <v>12</v>
      </c>
      <c r="C175" s="285" t="s">
        <v>9</v>
      </c>
      <c r="D175" s="286" t="s">
        <v>9</v>
      </c>
      <c r="E175" s="287" t="s">
        <v>9</v>
      </c>
      <c r="G175" t="str">
        <v>Mauraz</v>
      </c>
      <c r="H175" t="str">
        <v>Mauraz</v>
      </c>
      <c r="I175" t="str">
        <v>Mauraz</v>
      </c>
    </row>
    <row r="176" spans="1:9">
      <c r="A176" t="s">
        <v>134</v>
      </c>
      <c r="B176" t="s">
        <v>12</v>
      </c>
      <c r="C176" s="285" t="s">
        <v>8</v>
      </c>
      <c r="D176" s="286" t="s">
        <v>6</v>
      </c>
      <c r="E176" s="287" t="s">
        <v>8</v>
      </c>
      <c r="G176" t="str">
        <v>Mex (VD)</v>
      </c>
      <c r="H176" t="str">
        <v>Mex (VD)</v>
      </c>
      <c r="I176" t="str">
        <v>Mex (VD)</v>
      </c>
    </row>
    <row r="177" spans="1:9">
      <c r="A177" t="s">
        <v>272</v>
      </c>
      <c r="B177" t="s">
        <v>12</v>
      </c>
      <c r="C177" s="285" t="s">
        <v>6</v>
      </c>
      <c r="D177" s="286" t="s">
        <v>6</v>
      </c>
      <c r="E177" s="287" t="s">
        <v>7</v>
      </c>
      <c r="G177" t="str">
        <v>Mies</v>
      </c>
      <c r="H177" t="str">
        <v>Mies</v>
      </c>
      <c r="I177" t="str">
        <v>Mies</v>
      </c>
    </row>
    <row r="178" spans="1:9">
      <c r="A178" t="s">
        <v>320</v>
      </c>
      <c r="B178" t="s">
        <v>12</v>
      </c>
      <c r="C178" s="285" t="s">
        <v>10</v>
      </c>
      <c r="D178" s="286" t="s">
        <v>10</v>
      </c>
      <c r="E178" s="287" t="s">
        <v>10</v>
      </c>
      <c r="G178" t="str">
        <v>Missy</v>
      </c>
      <c r="H178" t="str">
        <v>Missy</v>
      </c>
      <c r="I178" t="str">
        <v>Missy</v>
      </c>
    </row>
    <row r="179" spans="1:9">
      <c r="A179" t="s">
        <v>135</v>
      </c>
      <c r="B179" t="s">
        <v>12</v>
      </c>
      <c r="C179" s="285" t="s">
        <v>9</v>
      </c>
      <c r="D179" s="286" t="s">
        <v>10</v>
      </c>
      <c r="E179" s="287" t="s">
        <v>9</v>
      </c>
      <c r="G179" t="str">
        <v>Moiry</v>
      </c>
      <c r="H179" t="str">
        <v>Moiry</v>
      </c>
      <c r="I179" t="str">
        <v>Moiry</v>
      </c>
    </row>
    <row r="180" spans="1:9">
      <c r="A180" t="s">
        <v>108</v>
      </c>
      <c r="B180" t="s">
        <v>12</v>
      </c>
      <c r="C180" s="285" t="s">
        <v>8</v>
      </c>
      <c r="D180" s="286" t="s">
        <v>9</v>
      </c>
      <c r="E180" s="287" t="s">
        <v>9</v>
      </c>
      <c r="G180" t="str">
        <v>Mollens (VD)</v>
      </c>
      <c r="H180" t="str">
        <v>Mollens (VD)</v>
      </c>
      <c r="I180" t="str">
        <v>Mollens (VD)</v>
      </c>
    </row>
    <row r="181" spans="1:9">
      <c r="A181" t="s">
        <v>366</v>
      </c>
      <c r="B181" t="s">
        <v>12</v>
      </c>
      <c r="C181" s="285" t="s">
        <v>9</v>
      </c>
      <c r="D181" s="286" t="s">
        <v>10</v>
      </c>
      <c r="E181" s="287" t="s">
        <v>10</v>
      </c>
      <c r="G181" t="str">
        <v>Molondin</v>
      </c>
      <c r="H181" t="str">
        <v>Molondin</v>
      </c>
      <c r="I181" t="str">
        <v>Molondin</v>
      </c>
    </row>
    <row r="182" spans="1:9">
      <c r="A182" t="s">
        <v>367</v>
      </c>
      <c r="B182" t="s">
        <v>12</v>
      </c>
      <c r="C182" s="285" t="s">
        <v>6</v>
      </c>
      <c r="D182" s="286" t="s">
        <v>8</v>
      </c>
      <c r="E182" s="287" t="s">
        <v>8</v>
      </c>
      <c r="G182" t="str">
        <v>Montagny-près-Yverdon</v>
      </c>
      <c r="H182" t="str">
        <v>Montagny-près-Yverdon</v>
      </c>
      <c r="I182" t="str">
        <v>Montagny-près-Yverdon</v>
      </c>
    </row>
    <row r="183" spans="1:9">
      <c r="A183" t="s">
        <v>249</v>
      </c>
      <c r="B183" t="s">
        <v>12</v>
      </c>
      <c r="C183" s="285" t="s">
        <v>9</v>
      </c>
      <c r="D183" s="286" t="s">
        <v>10</v>
      </c>
      <c r="E183" s="287" t="s">
        <v>9</v>
      </c>
      <c r="G183" t="str">
        <v>Montanaire</v>
      </c>
      <c r="H183" t="str">
        <v>Montanaire</v>
      </c>
      <c r="I183" t="str">
        <v>Montanaire</v>
      </c>
    </row>
    <row r="184" spans="1:9">
      <c r="A184" t="s">
        <v>295</v>
      </c>
      <c r="B184" t="s">
        <v>12</v>
      </c>
      <c r="C184" s="285" t="s">
        <v>8</v>
      </c>
      <c r="D184" s="286" t="s">
        <v>8</v>
      </c>
      <c r="E184" s="287" t="s">
        <v>9</v>
      </c>
      <c r="G184" t="str">
        <v>Montcherand</v>
      </c>
      <c r="H184" t="str">
        <v>Montcherand</v>
      </c>
      <c r="I184" t="str">
        <v>Montcherand</v>
      </c>
    </row>
    <row r="185" spans="1:9">
      <c r="A185" t="s">
        <v>165</v>
      </c>
      <c r="B185" t="s">
        <v>12</v>
      </c>
      <c r="C185" s="285" t="s">
        <v>8</v>
      </c>
      <c r="D185" s="286" t="s">
        <v>8</v>
      </c>
      <c r="E185" s="287" t="s">
        <v>8</v>
      </c>
      <c r="G185" t="str">
        <v>Montilliez</v>
      </c>
      <c r="H185" t="str">
        <v>Montilliez</v>
      </c>
      <c r="I185" t="str">
        <v>Montilliez</v>
      </c>
    </row>
    <row r="186" spans="1:9">
      <c r="A186" t="s">
        <v>136</v>
      </c>
      <c r="B186" t="s">
        <v>12</v>
      </c>
      <c r="C186" s="285" t="s">
        <v>9</v>
      </c>
      <c r="D186" s="286" t="s">
        <v>10</v>
      </c>
      <c r="E186" s="287" t="s">
        <v>9</v>
      </c>
      <c r="G186" t="str">
        <v>Mont-la-Ville</v>
      </c>
      <c r="H186" t="str">
        <v>Mont-la-Ville</v>
      </c>
      <c r="I186" t="str">
        <v>Mont-la-Ville</v>
      </c>
    </row>
    <row r="187" spans="1:9">
      <c r="A187" t="s">
        <v>308</v>
      </c>
      <c r="B187" t="s">
        <v>12</v>
      </c>
      <c r="C187" s="285" t="s">
        <v>8</v>
      </c>
      <c r="D187" s="286" t="s">
        <v>9</v>
      </c>
      <c r="E187" s="287" t="s">
        <v>8</v>
      </c>
      <c r="G187" t="str">
        <v>Montpreveyres</v>
      </c>
      <c r="H187" t="str">
        <v>Montpreveyres</v>
      </c>
      <c r="I187" t="str">
        <v>Montpreveyres</v>
      </c>
    </row>
    <row r="188" spans="1:9">
      <c r="A188" t="s">
        <v>349</v>
      </c>
      <c r="B188" t="s">
        <v>12</v>
      </c>
      <c r="C188" s="285" t="s">
        <v>6</v>
      </c>
      <c r="D188" s="286" t="s">
        <v>6</v>
      </c>
      <c r="E188" s="287" t="s">
        <v>6</v>
      </c>
      <c r="G188" t="str">
        <v>Montreux</v>
      </c>
      <c r="H188" t="str">
        <v>Montreux</v>
      </c>
      <c r="I188" t="str">
        <v>Montreux</v>
      </c>
    </row>
    <row r="189" spans="1:9">
      <c r="A189" t="s">
        <v>137</v>
      </c>
      <c r="B189" t="s">
        <v>12</v>
      </c>
      <c r="C189" s="285" t="s">
        <v>8</v>
      </c>
      <c r="D189" s="286" t="s">
        <v>9</v>
      </c>
      <c r="E189" s="287" t="s">
        <v>9</v>
      </c>
      <c r="G189" t="str">
        <v>Montricher</v>
      </c>
      <c r="H189" t="str">
        <v>Montricher</v>
      </c>
      <c r="I189" t="str">
        <v>Montricher</v>
      </c>
    </row>
    <row r="190" spans="1:9">
      <c r="A190" t="s">
        <v>337</v>
      </c>
      <c r="B190" t="s">
        <v>12</v>
      </c>
      <c r="C190" s="285" t="s">
        <v>6</v>
      </c>
      <c r="D190" s="286" t="s">
        <v>6</v>
      </c>
      <c r="E190" s="287" t="s">
        <v>6</v>
      </c>
      <c r="G190" t="str">
        <v>Mont-sur-Rolle</v>
      </c>
      <c r="H190" t="str">
        <v>Mont-sur-Rolle</v>
      </c>
      <c r="I190" t="str">
        <v>Mont-sur-Rolle</v>
      </c>
    </row>
    <row r="191" spans="1:9">
      <c r="A191" t="s">
        <v>221</v>
      </c>
      <c r="B191" t="s">
        <v>12</v>
      </c>
      <c r="C191" s="285" t="s">
        <v>7</v>
      </c>
      <c r="D191" s="286" t="s">
        <v>7</v>
      </c>
      <c r="E191" s="287" t="s">
        <v>6</v>
      </c>
      <c r="G191" t="str">
        <v>Morges</v>
      </c>
      <c r="H191" t="str">
        <v>Morges</v>
      </c>
      <c r="I191" t="str">
        <v>Morges</v>
      </c>
    </row>
    <row r="192" spans="1:9">
      <c r="A192" t="s">
        <v>156</v>
      </c>
      <c r="B192" t="s">
        <v>12</v>
      </c>
      <c r="C192" s="285" t="s">
        <v>6</v>
      </c>
      <c r="D192" s="286" t="s">
        <v>8</v>
      </c>
      <c r="E192" s="287" t="s">
        <v>8</v>
      </c>
      <c r="G192" t="str">
        <v>Morrens (VD)</v>
      </c>
      <c r="H192" t="str">
        <v>Morrens (VD)</v>
      </c>
      <c r="I192" t="str">
        <v>Morrens (VD)</v>
      </c>
    </row>
    <row r="193" spans="1:9">
      <c r="A193" t="s">
        <v>242</v>
      </c>
      <c r="B193" t="s">
        <v>12</v>
      </c>
      <c r="C193" s="285" t="s">
        <v>8</v>
      </c>
      <c r="D193" s="286" t="s">
        <v>9</v>
      </c>
      <c r="E193" s="287" t="s">
        <v>9</v>
      </c>
      <c r="G193" t="str">
        <v>Moudon</v>
      </c>
      <c r="H193" t="str">
        <v>Moudon</v>
      </c>
      <c r="I193" t="str">
        <v>Moudon</v>
      </c>
    </row>
    <row r="194" spans="1:9">
      <c r="A194" t="s">
        <v>178</v>
      </c>
      <c r="B194" t="s">
        <v>12</v>
      </c>
      <c r="C194" s="285" t="s">
        <v>10</v>
      </c>
      <c r="D194" s="286" t="s">
        <v>10</v>
      </c>
      <c r="E194" s="287" t="s">
        <v>10</v>
      </c>
      <c r="G194" t="str">
        <v>Mutrux</v>
      </c>
      <c r="H194" t="str">
        <v>Mutrux</v>
      </c>
      <c r="I194" t="str">
        <v>Mutrux</v>
      </c>
    </row>
    <row r="195" spans="1:9">
      <c r="A195" t="s">
        <v>179</v>
      </c>
      <c r="B195" t="s">
        <v>12</v>
      </c>
      <c r="C195" s="285" t="s">
        <v>9</v>
      </c>
      <c r="D195" s="286" t="s">
        <v>9</v>
      </c>
      <c r="E195" s="287" t="s">
        <v>10</v>
      </c>
      <c r="G195" t="str">
        <v>Novalles</v>
      </c>
      <c r="H195" t="str">
        <v>Novalles</v>
      </c>
      <c r="I195" t="str">
        <v>Novalles</v>
      </c>
    </row>
    <row r="196" spans="1:9">
      <c r="A196" t="s">
        <v>91</v>
      </c>
      <c r="B196" t="s">
        <v>12</v>
      </c>
      <c r="C196" s="285" t="s">
        <v>8</v>
      </c>
      <c r="D196" s="286" t="s">
        <v>9</v>
      </c>
      <c r="E196" s="287" t="s">
        <v>8</v>
      </c>
      <c r="G196" t="str">
        <v>Noville</v>
      </c>
      <c r="H196" t="str">
        <v>Noville</v>
      </c>
      <c r="I196" t="str">
        <v>Noville</v>
      </c>
    </row>
    <row r="197" spans="1:9">
      <c r="A197" t="s">
        <v>273</v>
      </c>
      <c r="B197" t="s">
        <v>12</v>
      </c>
      <c r="C197" s="285" t="s">
        <v>7</v>
      </c>
      <c r="D197" s="286" t="s">
        <v>7</v>
      </c>
      <c r="E197" s="287" t="s">
        <v>6</v>
      </c>
      <c r="G197" t="str">
        <v>Nyon</v>
      </c>
      <c r="H197" t="str">
        <v>Nyon</v>
      </c>
      <c r="I197" t="str">
        <v>Nyon</v>
      </c>
    </row>
    <row r="198" spans="1:9">
      <c r="A198" t="s">
        <v>243</v>
      </c>
      <c r="B198" t="s">
        <v>12</v>
      </c>
      <c r="C198" s="285" t="s">
        <v>9</v>
      </c>
      <c r="D198" s="286" t="s">
        <v>10</v>
      </c>
      <c r="E198" s="287" t="s">
        <v>9</v>
      </c>
      <c r="G198" t="str">
        <v>Ogens</v>
      </c>
      <c r="H198" t="str">
        <v>Ogens</v>
      </c>
      <c r="I198" t="str">
        <v>Ogens</v>
      </c>
    </row>
    <row r="199" spans="1:9">
      <c r="A199" t="s">
        <v>92</v>
      </c>
      <c r="B199" t="s">
        <v>12</v>
      </c>
      <c r="C199" s="285" t="s">
        <v>8</v>
      </c>
      <c r="D199" s="286" t="s">
        <v>6</v>
      </c>
      <c r="E199" s="287" t="s">
        <v>8</v>
      </c>
      <c r="G199" t="str">
        <v>Ollon</v>
      </c>
      <c r="H199" t="str">
        <v>Ollon</v>
      </c>
      <c r="I199" t="str">
        <v>Ollon</v>
      </c>
    </row>
    <row r="200" spans="1:9">
      <c r="A200" t="s">
        <v>180</v>
      </c>
      <c r="B200" t="s">
        <v>12</v>
      </c>
      <c r="C200" s="285" t="s">
        <v>8</v>
      </c>
      <c r="D200" s="286" t="s">
        <v>8</v>
      </c>
      <c r="E200" s="287" t="s">
        <v>9</v>
      </c>
      <c r="G200" t="str">
        <v>Onnens (VD)</v>
      </c>
      <c r="H200" t="str">
        <v>Onnens (VD)</v>
      </c>
      <c r="I200" t="str">
        <v>Onnens (VD)</v>
      </c>
    </row>
    <row r="201" spans="1:9">
      <c r="A201" t="s">
        <v>368</v>
      </c>
      <c r="B201" t="s">
        <v>12</v>
      </c>
      <c r="C201" s="285" t="s">
        <v>9</v>
      </c>
      <c r="D201" s="286" t="s">
        <v>10</v>
      </c>
      <c r="E201" s="287" t="s">
        <v>10</v>
      </c>
      <c r="G201" t="str">
        <v>Oppens</v>
      </c>
      <c r="H201" t="str">
        <v>Oppens</v>
      </c>
      <c r="I201" t="str">
        <v>Oppens</v>
      </c>
    </row>
    <row r="202" spans="1:9">
      <c r="A202" t="s">
        <v>296</v>
      </c>
      <c r="B202" t="s">
        <v>12</v>
      </c>
      <c r="C202" s="285" t="s">
        <v>6</v>
      </c>
      <c r="D202" s="286" t="s">
        <v>8</v>
      </c>
      <c r="E202" s="287" t="s">
        <v>8</v>
      </c>
      <c r="G202" t="str">
        <v>Orbe</v>
      </c>
      <c r="H202" t="str">
        <v>Orbe</v>
      </c>
      <c r="I202" t="str">
        <v>Orbe</v>
      </c>
    </row>
    <row r="203" spans="1:9">
      <c r="A203" t="s">
        <v>369</v>
      </c>
      <c r="B203" t="s">
        <v>12</v>
      </c>
      <c r="C203" s="285" t="s">
        <v>8</v>
      </c>
      <c r="D203" s="286" t="s">
        <v>9</v>
      </c>
      <c r="E203" s="287" t="s">
        <v>9</v>
      </c>
      <c r="G203" t="str">
        <v>Orges</v>
      </c>
      <c r="H203" t="str">
        <v>Orges</v>
      </c>
      <c r="I203" t="str">
        <v>Orges</v>
      </c>
    </row>
    <row r="204" spans="1:9">
      <c r="A204" t="s">
        <v>93</v>
      </c>
      <c r="B204" t="s">
        <v>12</v>
      </c>
      <c r="C204" s="285" t="s">
        <v>10</v>
      </c>
      <c r="D204" s="286" t="s">
        <v>10</v>
      </c>
      <c r="E204" s="287" t="s">
        <v>10</v>
      </c>
      <c r="G204" t="str">
        <v>Ormont-Dessous</v>
      </c>
      <c r="H204" t="str">
        <v>Ormont-Dessous</v>
      </c>
      <c r="I204" t="str">
        <v>Ormont-Dessous</v>
      </c>
    </row>
    <row r="205" spans="1:9">
      <c r="A205" t="s">
        <v>94</v>
      </c>
      <c r="B205" t="s">
        <v>12</v>
      </c>
      <c r="C205" s="285" t="s">
        <v>9</v>
      </c>
      <c r="D205" s="286" t="s">
        <v>8</v>
      </c>
      <c r="E205" s="287" t="s">
        <v>9</v>
      </c>
      <c r="G205" t="str">
        <v>Ormont-Dessus</v>
      </c>
      <c r="H205" t="str">
        <v>Ormont-Dessus</v>
      </c>
      <c r="I205" t="str">
        <v>Ormont-Dessus</v>
      </c>
    </row>
    <row r="206" spans="1:9">
      <c r="A206" t="s">
        <v>138</v>
      </c>
      <c r="B206" t="s">
        <v>12</v>
      </c>
      <c r="C206" s="285" t="s">
        <v>8</v>
      </c>
      <c r="D206" s="286" t="s">
        <v>8</v>
      </c>
      <c r="E206" s="287" t="s">
        <v>9</v>
      </c>
      <c r="G206" t="str">
        <v>Orny</v>
      </c>
      <c r="H206" t="str">
        <v>Orny</v>
      </c>
      <c r="I206" t="str">
        <v>Orny</v>
      </c>
    </row>
    <row r="207" spans="1:9">
      <c r="A207" t="s">
        <v>313</v>
      </c>
      <c r="B207" t="s">
        <v>12</v>
      </c>
      <c r="C207" s="285" t="s">
        <v>8</v>
      </c>
      <c r="D207" s="286" t="s">
        <v>8</v>
      </c>
      <c r="E207" s="287" t="s">
        <v>8</v>
      </c>
      <c r="G207" t="str">
        <v>Oron</v>
      </c>
      <c r="H207" t="str">
        <v>Oron</v>
      </c>
      <c r="I207" t="str">
        <v>Oron</v>
      </c>
    </row>
    <row r="208" spans="1:9">
      <c r="A208" t="s">
        <v>370</v>
      </c>
      <c r="B208" t="s">
        <v>12</v>
      </c>
      <c r="C208" s="285" t="s">
        <v>9</v>
      </c>
      <c r="D208" s="286" t="s">
        <v>10</v>
      </c>
      <c r="E208" s="287" t="s">
        <v>10</v>
      </c>
      <c r="G208" t="str">
        <v>Orzens</v>
      </c>
      <c r="H208" t="str">
        <v>Orzens</v>
      </c>
      <c r="I208" t="str">
        <v>Orzens</v>
      </c>
    </row>
    <row r="209" spans="1:9">
      <c r="A209" t="s">
        <v>157</v>
      </c>
      <c r="B209" t="s">
        <v>12</v>
      </c>
      <c r="C209" s="285" t="s">
        <v>8</v>
      </c>
      <c r="D209" s="286" t="s">
        <v>8</v>
      </c>
      <c r="E209" s="287" t="s">
        <v>8</v>
      </c>
      <c r="G209" t="str">
        <v>Oulens-sous-Echallens</v>
      </c>
      <c r="H209" t="str">
        <v>Oulens-sous-Echallens</v>
      </c>
      <c r="I209" t="str">
        <v>Oulens-sous-Echallens</v>
      </c>
    </row>
    <row r="210" spans="1:9">
      <c r="A210" t="s">
        <v>158</v>
      </c>
      <c r="B210" t="s">
        <v>12</v>
      </c>
      <c r="C210" s="285" t="s">
        <v>8</v>
      </c>
      <c r="D210" s="286" t="s">
        <v>9</v>
      </c>
      <c r="E210" s="287" t="s">
        <v>9</v>
      </c>
      <c r="G210" t="str">
        <v>Pailly</v>
      </c>
      <c r="H210" t="str">
        <v>Pailly</v>
      </c>
      <c r="I210" t="str">
        <v>Pailly</v>
      </c>
    </row>
    <row r="211" spans="1:9">
      <c r="A211" t="s">
        <v>191</v>
      </c>
      <c r="B211" t="s">
        <v>12</v>
      </c>
      <c r="C211" s="285" t="s">
        <v>6</v>
      </c>
      <c r="D211" s="286" t="s">
        <v>6</v>
      </c>
      <c r="E211" s="287" t="s">
        <v>6</v>
      </c>
      <c r="G211" t="str">
        <v>Paudex</v>
      </c>
      <c r="H211" t="str">
        <v>Paudex</v>
      </c>
      <c r="I211" t="str">
        <v>Paudex</v>
      </c>
    </row>
    <row r="212" spans="1:9">
      <c r="A212" t="s">
        <v>321</v>
      </c>
      <c r="B212" t="s">
        <v>12</v>
      </c>
      <c r="C212" s="285" t="s">
        <v>8</v>
      </c>
      <c r="D212" s="286" t="s">
        <v>8</v>
      </c>
      <c r="E212" s="287" t="s">
        <v>8</v>
      </c>
      <c r="G212" t="str">
        <v>Payerne</v>
      </c>
      <c r="H212" t="str">
        <v>Payerne</v>
      </c>
      <c r="I212" t="str">
        <v>Payerne</v>
      </c>
    </row>
    <row r="213" spans="1:9">
      <c r="A213" t="s">
        <v>139</v>
      </c>
      <c r="B213" t="s">
        <v>12</v>
      </c>
      <c r="C213" s="285" t="s">
        <v>6</v>
      </c>
      <c r="D213" s="286" t="s">
        <v>8</v>
      </c>
      <c r="E213" s="287" t="s">
        <v>8</v>
      </c>
      <c r="G213" t="str">
        <v>Penthalaz</v>
      </c>
      <c r="H213" t="str">
        <v>Penthalaz</v>
      </c>
      <c r="I213" t="str">
        <v>Penthalaz</v>
      </c>
    </row>
    <row r="214" spans="1:9">
      <c r="A214" t="s">
        <v>140</v>
      </c>
      <c r="B214" t="s">
        <v>12</v>
      </c>
      <c r="C214" s="285" t="s">
        <v>6</v>
      </c>
      <c r="D214" s="286" t="s">
        <v>8</v>
      </c>
      <c r="E214" s="287" t="s">
        <v>6</v>
      </c>
      <c r="G214" t="str">
        <v>Penthaz</v>
      </c>
      <c r="H214" t="str">
        <v>Penthaz</v>
      </c>
      <c r="I214" t="str">
        <v>Penthaz</v>
      </c>
    </row>
    <row r="215" spans="1:9">
      <c r="A215" t="s">
        <v>159</v>
      </c>
      <c r="B215" t="s">
        <v>12</v>
      </c>
      <c r="C215" s="285" t="s">
        <v>8</v>
      </c>
      <c r="D215" s="286" t="s">
        <v>9</v>
      </c>
      <c r="E215" s="287" t="s">
        <v>9</v>
      </c>
      <c r="G215" t="str">
        <v>Penthéréaz</v>
      </c>
      <c r="H215" t="str">
        <v>Penthéréaz</v>
      </c>
      <c r="I215" t="str">
        <v>Penthéréaz</v>
      </c>
    </row>
    <row r="216" spans="1:9">
      <c r="A216" t="s">
        <v>338</v>
      </c>
      <c r="B216" t="s">
        <v>12</v>
      </c>
      <c r="C216" s="285" t="s">
        <v>6</v>
      </c>
      <c r="D216" s="286" t="s">
        <v>8</v>
      </c>
      <c r="E216" s="287" t="s">
        <v>6</v>
      </c>
      <c r="G216" t="str">
        <v>Perroy</v>
      </c>
      <c r="H216" t="str">
        <v>Perroy</v>
      </c>
      <c r="I216" t="str">
        <v>Perroy</v>
      </c>
    </row>
    <row r="217" spans="1:9">
      <c r="A217" t="s">
        <v>160</v>
      </c>
      <c r="B217" t="s">
        <v>12</v>
      </c>
      <c r="C217" s="285" t="s">
        <v>8</v>
      </c>
      <c r="D217" s="286" t="s">
        <v>9</v>
      </c>
      <c r="E217" s="287" t="s">
        <v>9</v>
      </c>
      <c r="G217" t="str">
        <v>Poliez-Pittet</v>
      </c>
      <c r="H217" t="str">
        <v>Poliez-Pittet</v>
      </c>
      <c r="I217" t="str">
        <v>Poliez-Pittet</v>
      </c>
    </row>
    <row r="218" spans="1:9">
      <c r="A218" t="s">
        <v>141</v>
      </c>
      <c r="B218" t="s">
        <v>12</v>
      </c>
      <c r="C218" s="285" t="s">
        <v>8</v>
      </c>
      <c r="D218" s="286" t="s">
        <v>9</v>
      </c>
      <c r="E218" s="287" t="s">
        <v>9</v>
      </c>
      <c r="G218" t="str">
        <v>Pompaples</v>
      </c>
      <c r="H218" t="str">
        <v>Pompaples</v>
      </c>
      <c r="I218" t="str">
        <v>Pompaples</v>
      </c>
    </row>
    <row r="219" spans="1:9">
      <c r="A219" t="s">
        <v>371</v>
      </c>
      <c r="B219" t="s">
        <v>12</v>
      </c>
      <c r="C219" s="285" t="s">
        <v>8</v>
      </c>
      <c r="D219" s="286" t="s">
        <v>8</v>
      </c>
      <c r="E219" s="287" t="s">
        <v>9</v>
      </c>
      <c r="G219" t="str">
        <v>Pomy</v>
      </c>
      <c r="H219" t="str">
        <v>Pomy</v>
      </c>
      <c r="I219" t="str">
        <v>Pomy</v>
      </c>
    </row>
    <row r="220" spans="1:9">
      <c r="A220" t="s">
        <v>274</v>
      </c>
      <c r="B220" t="s">
        <v>12</v>
      </c>
      <c r="C220" s="285" t="s">
        <v>6</v>
      </c>
      <c r="D220" s="286" t="s">
        <v>6</v>
      </c>
      <c r="E220" s="287" t="s">
        <v>6</v>
      </c>
      <c r="G220" t="str">
        <v>Prangins</v>
      </c>
      <c r="H220" t="str">
        <v>Prangins</v>
      </c>
      <c r="I220" t="str">
        <v>Prangins</v>
      </c>
    </row>
    <row r="221" spans="1:9">
      <c r="A221" t="s">
        <v>298</v>
      </c>
      <c r="B221" t="s">
        <v>12</v>
      </c>
      <c r="C221" s="285" t="s">
        <v>10</v>
      </c>
      <c r="D221" s="286" t="s">
        <v>10</v>
      </c>
      <c r="E221" s="287" t="s">
        <v>10</v>
      </c>
      <c r="G221" t="str">
        <v>Premier</v>
      </c>
      <c r="H221" t="str">
        <v>Premier</v>
      </c>
      <c r="I221" t="str">
        <v>Premier</v>
      </c>
    </row>
    <row r="222" spans="1:9">
      <c r="A222" t="s">
        <v>222</v>
      </c>
      <c r="B222" t="s">
        <v>12</v>
      </c>
      <c r="C222" s="285" t="s">
        <v>6</v>
      </c>
      <c r="D222" s="286" t="s">
        <v>6</v>
      </c>
      <c r="E222" s="287" t="s">
        <v>6</v>
      </c>
      <c r="G222" t="str">
        <v>Préverenges</v>
      </c>
      <c r="H222" t="str">
        <v>Préverenges</v>
      </c>
      <c r="I222" t="str">
        <v>Préverenges</v>
      </c>
    </row>
    <row r="223" spans="1:9">
      <c r="A223" t="s">
        <v>244</v>
      </c>
      <c r="B223" t="s">
        <v>12</v>
      </c>
      <c r="C223" s="285" t="s">
        <v>9</v>
      </c>
      <c r="D223" s="286" t="s">
        <v>10</v>
      </c>
      <c r="E223" s="287" t="s">
        <v>9</v>
      </c>
      <c r="G223" t="str">
        <v>Prévonloup</v>
      </c>
      <c r="H223" t="str">
        <v>Prévonloup</v>
      </c>
      <c r="I223" t="str">
        <v>Prévonloup</v>
      </c>
    </row>
    <row r="224" spans="1:9">
      <c r="A224" t="s">
        <v>192</v>
      </c>
      <c r="B224" t="s">
        <v>12</v>
      </c>
      <c r="C224" s="285" t="s">
        <v>7</v>
      </c>
      <c r="D224" s="286" t="s">
        <v>6</v>
      </c>
      <c r="E224" s="287" t="s">
        <v>8</v>
      </c>
      <c r="G224" t="str">
        <v>Prilly</v>
      </c>
      <c r="H224" t="str">
        <v>Prilly</v>
      </c>
      <c r="I224" t="str">
        <v>Prilly</v>
      </c>
    </row>
    <row r="225" spans="1:9">
      <c r="A225" t="s">
        <v>181</v>
      </c>
      <c r="B225" t="s">
        <v>12</v>
      </c>
      <c r="C225" s="285" t="s">
        <v>10</v>
      </c>
      <c r="D225" s="286" t="s">
        <v>11</v>
      </c>
      <c r="E225" s="287" t="s">
        <v>10</v>
      </c>
      <c r="G225" t="str">
        <v>Provence</v>
      </c>
      <c r="H225" t="str">
        <v>Provence</v>
      </c>
      <c r="I225" t="str">
        <v>Provence</v>
      </c>
    </row>
    <row r="226" spans="1:9">
      <c r="A226" t="s">
        <v>199</v>
      </c>
      <c r="B226" t="s">
        <v>12</v>
      </c>
      <c r="C226" s="285" t="s">
        <v>6</v>
      </c>
      <c r="D226" s="286" t="s">
        <v>6</v>
      </c>
      <c r="E226" s="287" t="s">
        <v>8</v>
      </c>
      <c r="G226" t="str">
        <v>Puidoux</v>
      </c>
      <c r="H226" t="str">
        <v>Puidoux</v>
      </c>
      <c r="I226" t="str">
        <v>Puidoux</v>
      </c>
    </row>
    <row r="227" spans="1:9">
      <c r="A227" t="s">
        <v>193</v>
      </c>
      <c r="B227" t="s">
        <v>12</v>
      </c>
      <c r="C227" s="285" t="s">
        <v>7</v>
      </c>
      <c r="D227" s="286" t="s">
        <v>7</v>
      </c>
      <c r="E227" s="287" t="s">
        <v>6</v>
      </c>
      <c r="G227" t="str">
        <v>Pully</v>
      </c>
      <c r="H227" t="str">
        <v>Pully</v>
      </c>
      <c r="I227" t="str">
        <v>Pully</v>
      </c>
    </row>
    <row r="228" spans="1:9">
      <c r="A228" t="s">
        <v>299</v>
      </c>
      <c r="B228" t="s">
        <v>12</v>
      </c>
      <c r="C228" s="285" t="s">
        <v>9</v>
      </c>
      <c r="D228" s="286" t="s">
        <v>9</v>
      </c>
      <c r="E228" s="287" t="s">
        <v>9</v>
      </c>
      <c r="G228" t="str">
        <v>Rances</v>
      </c>
      <c r="H228" t="str">
        <v>Rances</v>
      </c>
      <c r="I228" t="str">
        <v>Rances</v>
      </c>
    </row>
    <row r="229" spans="1:9">
      <c r="A229" t="s">
        <v>194</v>
      </c>
      <c r="B229" t="s">
        <v>12</v>
      </c>
      <c r="C229" s="285" t="s">
        <v>7</v>
      </c>
      <c r="D229" s="286" t="s">
        <v>6</v>
      </c>
      <c r="E229" s="287" t="s">
        <v>6</v>
      </c>
      <c r="G229" t="str">
        <v>Renens (VD)</v>
      </c>
      <c r="H229" t="str">
        <v>Renens (VD)</v>
      </c>
      <c r="I229" t="str">
        <v>Renens (VD)</v>
      </c>
    </row>
    <row r="230" spans="1:9">
      <c r="A230" t="s">
        <v>95</v>
      </c>
      <c r="B230" t="s">
        <v>12</v>
      </c>
      <c r="C230" s="285" t="s">
        <v>8</v>
      </c>
      <c r="D230" s="286" t="s">
        <v>9</v>
      </c>
      <c r="E230" s="287" t="s">
        <v>9</v>
      </c>
      <c r="G230" t="str">
        <v>Rennaz</v>
      </c>
      <c r="H230" t="str">
        <v>Rennaz</v>
      </c>
      <c r="I230" t="str">
        <v>Rennaz</v>
      </c>
    </row>
    <row r="231" spans="1:9">
      <c r="A231" t="s">
        <v>200</v>
      </c>
      <c r="B231" t="s">
        <v>12</v>
      </c>
      <c r="C231" s="285" t="s">
        <v>8</v>
      </c>
      <c r="D231" s="286" t="s">
        <v>8</v>
      </c>
      <c r="E231" s="287" t="s">
        <v>8</v>
      </c>
      <c r="G231" t="str">
        <v>Rivaz</v>
      </c>
      <c r="H231" t="str">
        <v>Rivaz</v>
      </c>
      <c r="I231" t="str">
        <v>Rivaz</v>
      </c>
    </row>
    <row r="232" spans="1:9">
      <c r="A232" t="s">
        <v>96</v>
      </c>
      <c r="B232" t="s">
        <v>12</v>
      </c>
      <c r="C232" s="285" t="s">
        <v>9</v>
      </c>
      <c r="D232" s="286" t="s">
        <v>9</v>
      </c>
      <c r="E232" s="287" t="s">
        <v>9</v>
      </c>
      <c r="G232" t="str">
        <v>Roche (VD)</v>
      </c>
      <c r="H232" t="str">
        <v>Roche (VD)</v>
      </c>
      <c r="I232" t="str">
        <v>Roche (VD)</v>
      </c>
    </row>
    <row r="233" spans="1:9">
      <c r="A233" t="s">
        <v>339</v>
      </c>
      <c r="B233" t="s">
        <v>12</v>
      </c>
      <c r="C233" s="285" t="s">
        <v>6</v>
      </c>
      <c r="D233" s="286" t="s">
        <v>6</v>
      </c>
      <c r="E233" s="287" t="s">
        <v>6</v>
      </c>
      <c r="G233" t="str">
        <v>Rolle</v>
      </c>
      <c r="H233" t="str">
        <v>Rolle</v>
      </c>
      <c r="I233" t="str">
        <v>Rolle</v>
      </c>
    </row>
    <row r="234" spans="1:9">
      <c r="A234" t="s">
        <v>300</v>
      </c>
      <c r="B234" t="s">
        <v>12</v>
      </c>
      <c r="C234" s="285" t="s">
        <v>9</v>
      </c>
      <c r="D234" s="286" t="s">
        <v>9</v>
      </c>
      <c r="E234" s="287" t="s">
        <v>10</v>
      </c>
      <c r="G234" t="str">
        <v>Romainmôtier-Envy</v>
      </c>
      <c r="H234" t="str">
        <v>Romainmôtier-Envy</v>
      </c>
      <c r="I234" t="str">
        <v>Romainmôtier-Envy</v>
      </c>
    </row>
    <row r="235" spans="1:9">
      <c r="A235" t="s">
        <v>195</v>
      </c>
      <c r="B235" t="s">
        <v>12</v>
      </c>
      <c r="C235" s="285" t="s">
        <v>6</v>
      </c>
      <c r="D235" s="286" t="s">
        <v>6</v>
      </c>
      <c r="E235" s="287" t="s">
        <v>8</v>
      </c>
      <c r="G235" t="str">
        <v>Romanel-sur-Lausanne</v>
      </c>
      <c r="H235" t="str">
        <v>Romanel-sur-Lausanne</v>
      </c>
      <c r="I235" t="str">
        <v>Romanel-sur-Lausanne</v>
      </c>
    </row>
    <row r="236" spans="1:9">
      <c r="A236" t="s">
        <v>223</v>
      </c>
      <c r="B236" t="s">
        <v>12</v>
      </c>
      <c r="C236" s="285" t="s">
        <v>8</v>
      </c>
      <c r="D236" s="286" t="s">
        <v>6</v>
      </c>
      <c r="E236" s="287" t="s">
        <v>8</v>
      </c>
      <c r="G236" t="str">
        <v>Romanel-sur-Morges</v>
      </c>
      <c r="H236" t="str">
        <v>Romanel-sur-Morges</v>
      </c>
      <c r="I236" t="str">
        <v>Romanel-sur-Morges</v>
      </c>
    </row>
    <row r="237" spans="1:9">
      <c r="A237" t="s">
        <v>309</v>
      </c>
      <c r="B237" t="s">
        <v>12</v>
      </c>
      <c r="C237" s="285" t="s">
        <v>8</v>
      </c>
      <c r="D237" s="286" t="s">
        <v>9</v>
      </c>
      <c r="E237" s="287" t="s">
        <v>9</v>
      </c>
      <c r="G237" t="str">
        <v>Ropraz</v>
      </c>
      <c r="H237" t="str">
        <v>Ropraz</v>
      </c>
      <c r="I237" t="str">
        <v>Ropraz</v>
      </c>
    </row>
    <row r="238" spans="1:9">
      <c r="A238" t="s">
        <v>245</v>
      </c>
      <c r="B238" t="s">
        <v>12</v>
      </c>
      <c r="C238" s="285" t="s">
        <v>8</v>
      </c>
      <c r="D238" s="286" t="s">
        <v>8</v>
      </c>
      <c r="E238" s="287" t="s">
        <v>8</v>
      </c>
      <c r="G238" t="str">
        <v>Rossenges</v>
      </c>
      <c r="H238" t="str">
        <v>Rossenges</v>
      </c>
      <c r="I238" t="str">
        <v>Rossenges</v>
      </c>
    </row>
    <row r="239" spans="1:9">
      <c r="A239" t="s">
        <v>327</v>
      </c>
      <c r="B239" t="s">
        <v>12</v>
      </c>
      <c r="C239" s="285" t="s">
        <v>10</v>
      </c>
      <c r="D239" s="286" t="s">
        <v>10</v>
      </c>
      <c r="E239" s="287" t="s">
        <v>10</v>
      </c>
      <c r="G239" t="str">
        <v>Rossinière</v>
      </c>
      <c r="H239" t="str">
        <v>Rossinière</v>
      </c>
      <c r="I239" t="str">
        <v>Rossinière</v>
      </c>
    </row>
    <row r="240" spans="1:9">
      <c r="A240" t="s">
        <v>328</v>
      </c>
      <c r="B240" t="s">
        <v>12</v>
      </c>
      <c r="C240" s="285" t="s">
        <v>9</v>
      </c>
      <c r="D240" s="286" t="s">
        <v>8</v>
      </c>
      <c r="E240" s="287" t="s">
        <v>8</v>
      </c>
      <c r="G240" t="str">
        <v>Rougemont</v>
      </c>
      <c r="H240" t="str">
        <v>Rougemont</v>
      </c>
      <c r="I240" t="str">
        <v>Rougemont</v>
      </c>
    </row>
    <row r="241" spans="1:9">
      <c r="A241" t="s">
        <v>372</v>
      </c>
      <c r="B241" t="s">
        <v>12</v>
      </c>
      <c r="C241" s="285" t="s">
        <v>9</v>
      </c>
      <c r="D241" s="286" t="s">
        <v>9</v>
      </c>
      <c r="E241" s="287" t="s">
        <v>10</v>
      </c>
      <c r="G241" t="str">
        <v>Rovray</v>
      </c>
      <c r="H241" t="str">
        <v>Rovray</v>
      </c>
      <c r="I241" t="str">
        <v>Rovray</v>
      </c>
    </row>
    <row r="242" spans="1:9">
      <c r="A242" t="s">
        <v>161</v>
      </c>
      <c r="B242" t="s">
        <v>12</v>
      </c>
      <c r="C242" s="285" t="s">
        <v>8</v>
      </c>
      <c r="D242" s="286" t="s">
        <v>9</v>
      </c>
      <c r="E242" s="287" t="s">
        <v>9</v>
      </c>
      <c r="G242" t="str">
        <v>Rueyres</v>
      </c>
      <c r="H242" t="str">
        <v>Rueyres</v>
      </c>
      <c r="I242" t="str">
        <v>Rueyres</v>
      </c>
    </row>
    <row r="243" spans="1:9">
      <c r="A243" t="s">
        <v>162</v>
      </c>
      <c r="B243" t="s">
        <v>12</v>
      </c>
      <c r="C243" s="285" t="s">
        <v>8</v>
      </c>
      <c r="D243" s="286" t="s">
        <v>8</v>
      </c>
      <c r="E243" s="287" t="s">
        <v>9</v>
      </c>
      <c r="G243" t="str">
        <v>Saint-Barthélemy (VD)</v>
      </c>
      <c r="H243" t="str">
        <v>Saint-Barthélemy (VD)</v>
      </c>
      <c r="I243" t="str">
        <v>Saint-Barthélemy (VD)</v>
      </c>
    </row>
    <row r="244" spans="1:9">
      <c r="A244" t="s">
        <v>276</v>
      </c>
      <c r="B244" t="s">
        <v>12</v>
      </c>
      <c r="C244" s="285" t="s">
        <v>8</v>
      </c>
      <c r="D244" s="286" t="s">
        <v>9</v>
      </c>
      <c r="E244" s="287" t="s">
        <v>9</v>
      </c>
      <c r="G244" t="str">
        <v>Saint-Cergue</v>
      </c>
      <c r="H244" t="str">
        <v>Saint-Cergue</v>
      </c>
      <c r="I244" t="str">
        <v>Saint-Cergue</v>
      </c>
    </row>
    <row r="245" spans="1:9">
      <c r="A245" t="s">
        <v>182</v>
      </c>
      <c r="B245" t="s">
        <v>12</v>
      </c>
      <c r="C245" s="285" t="s">
        <v>9</v>
      </c>
      <c r="D245" s="286" t="s">
        <v>11</v>
      </c>
      <c r="E245" s="287" t="s">
        <v>10</v>
      </c>
      <c r="G245" t="str">
        <v>Sainte-Croix</v>
      </c>
      <c r="H245" t="str">
        <v>Sainte-Croix</v>
      </c>
      <c r="I245" t="str">
        <v>Sainte-Croix</v>
      </c>
    </row>
    <row r="246" spans="1:9">
      <c r="A246" t="s">
        <v>109</v>
      </c>
      <c r="B246" t="s">
        <v>12</v>
      </c>
      <c r="C246" s="285" t="s">
        <v>8</v>
      </c>
      <c r="D246" s="286" t="s">
        <v>9</v>
      </c>
      <c r="E246" s="287" t="s">
        <v>8</v>
      </c>
      <c r="G246" t="str">
        <v>Saint-George</v>
      </c>
      <c r="H246" t="str">
        <v>Saint-George</v>
      </c>
      <c r="I246" t="str">
        <v>Saint-George</v>
      </c>
    </row>
    <row r="247" spans="1:9">
      <c r="A247" t="s">
        <v>110</v>
      </c>
      <c r="B247" t="s">
        <v>12</v>
      </c>
      <c r="C247" s="285" t="s">
        <v>8</v>
      </c>
      <c r="D247" s="286" t="s">
        <v>8</v>
      </c>
      <c r="E247" s="287" t="s">
        <v>9</v>
      </c>
      <c r="G247" t="str">
        <v>Saint-Livres</v>
      </c>
      <c r="H247" t="str">
        <v>Saint-Livres</v>
      </c>
      <c r="I247" t="str">
        <v>Saint-Livres</v>
      </c>
    </row>
    <row r="248" spans="1:9">
      <c r="A248" t="s">
        <v>111</v>
      </c>
      <c r="B248" t="s">
        <v>12</v>
      </c>
      <c r="C248" s="285" t="s">
        <v>8</v>
      </c>
      <c r="D248" s="286" t="s">
        <v>9</v>
      </c>
      <c r="E248" s="287" t="s">
        <v>8</v>
      </c>
      <c r="G248" t="str">
        <v>Saint-Oyens</v>
      </c>
      <c r="H248" t="str">
        <v>Saint-Oyens</v>
      </c>
      <c r="I248" t="str">
        <v>Saint-Oyens</v>
      </c>
    </row>
    <row r="249" spans="1:9">
      <c r="A249" t="s">
        <v>224</v>
      </c>
      <c r="B249" t="s">
        <v>12</v>
      </c>
      <c r="C249" s="285" t="s">
        <v>6</v>
      </c>
      <c r="D249" s="286" t="s">
        <v>7</v>
      </c>
      <c r="E249" s="287" t="s">
        <v>6</v>
      </c>
      <c r="G249" t="str">
        <v>Saint-Prex</v>
      </c>
      <c r="H249" t="str">
        <v>Saint-Prex</v>
      </c>
      <c r="I249" t="str">
        <v>Saint-Prex</v>
      </c>
    </row>
    <row r="250" spans="1:9">
      <c r="A250" t="s">
        <v>201</v>
      </c>
      <c r="B250" t="s">
        <v>12</v>
      </c>
      <c r="C250" s="285" t="s">
        <v>6</v>
      </c>
      <c r="D250" s="286" t="s">
        <v>8</v>
      </c>
      <c r="E250" s="287" t="s">
        <v>6</v>
      </c>
      <c r="G250" t="str">
        <v>Saint-Saphorin (Lavaux)</v>
      </c>
      <c r="H250" t="str">
        <v>Saint-Saphorin (Lavaux)</v>
      </c>
      <c r="I250" t="str">
        <v>Saint-Saphorin (Lavaux)</v>
      </c>
    </row>
    <row r="251" spans="1:9">
      <c r="A251" t="s">
        <v>225</v>
      </c>
      <c r="B251" t="s">
        <v>12</v>
      </c>
      <c r="C251" s="285" t="s">
        <v>7</v>
      </c>
      <c r="D251" s="286" t="s">
        <v>7</v>
      </c>
      <c r="E251" s="287" t="s">
        <v>7</v>
      </c>
      <c r="G251" t="str">
        <v>Saint-Sulpice (VD)</v>
      </c>
      <c r="H251" t="str">
        <v>Saint-Sulpice (VD)</v>
      </c>
      <c r="I251" t="str">
        <v>Saint-Sulpice (VD)</v>
      </c>
    </row>
    <row r="252" spans="1:9">
      <c r="A252" t="s">
        <v>112</v>
      </c>
      <c r="B252" t="s">
        <v>12</v>
      </c>
      <c r="C252" s="285" t="s">
        <v>8</v>
      </c>
      <c r="D252" s="286" t="s">
        <v>9</v>
      </c>
      <c r="E252" s="287" t="s">
        <v>9</v>
      </c>
      <c r="G252" t="str">
        <v>Saubraz</v>
      </c>
      <c r="H252" t="str">
        <v>Saubraz</v>
      </c>
      <c r="I252" t="str">
        <v>Saubraz</v>
      </c>
    </row>
    <row r="253" spans="1:9">
      <c r="A253" t="s">
        <v>202</v>
      </c>
      <c r="B253" t="s">
        <v>12</v>
      </c>
      <c r="C253" s="285" t="s">
        <v>6</v>
      </c>
      <c r="D253" s="286" t="s">
        <v>8</v>
      </c>
      <c r="E253" s="287" t="s">
        <v>8</v>
      </c>
      <c r="G253" t="str">
        <v>Savigny</v>
      </c>
      <c r="H253" t="str">
        <v>Savigny</v>
      </c>
      <c r="I253" t="str">
        <v>Savigny</v>
      </c>
    </row>
    <row r="254" spans="1:9">
      <c r="A254" t="s">
        <v>143</v>
      </c>
      <c r="B254" t="s">
        <v>12</v>
      </c>
      <c r="C254" s="285" t="s">
        <v>8</v>
      </c>
      <c r="D254" s="286" t="s">
        <v>8</v>
      </c>
      <c r="E254" s="287" t="s">
        <v>8</v>
      </c>
      <c r="G254" t="str">
        <v>Senarclens</v>
      </c>
      <c r="H254" t="str">
        <v>Senarclens</v>
      </c>
      <c r="I254" t="str">
        <v>Senarclens</v>
      </c>
    </row>
    <row r="255" spans="1:9">
      <c r="A255" t="s">
        <v>301</v>
      </c>
      <c r="B255" t="s">
        <v>12</v>
      </c>
      <c r="C255" s="285" t="s">
        <v>9</v>
      </c>
      <c r="D255" s="286" t="s">
        <v>10</v>
      </c>
      <c r="E255" s="287" t="s">
        <v>9</v>
      </c>
      <c r="G255" t="str">
        <v>Sergey</v>
      </c>
      <c r="H255" t="str">
        <v>Sergey</v>
      </c>
      <c r="I255" t="str">
        <v>Sergey</v>
      </c>
    </row>
    <row r="256" spans="1:9">
      <c r="A256" t="s">
        <v>310</v>
      </c>
      <c r="B256" t="s">
        <v>12</v>
      </c>
      <c r="C256" s="285" t="s">
        <v>8</v>
      </c>
      <c r="D256" s="286" t="s">
        <v>8</v>
      </c>
      <c r="E256" s="287" t="s">
        <v>8</v>
      </c>
      <c r="G256" t="str">
        <v>Servion</v>
      </c>
      <c r="H256" t="str">
        <v>Servion</v>
      </c>
      <c r="I256" t="str">
        <v>Servion</v>
      </c>
    </row>
    <row r="257" spans="1:9">
      <c r="A257" t="s">
        <v>277</v>
      </c>
      <c r="B257" t="s">
        <v>12</v>
      </c>
      <c r="C257" s="285" t="s">
        <v>6</v>
      </c>
      <c r="D257" s="286" t="s">
        <v>6</v>
      </c>
      <c r="E257" s="287" t="s">
        <v>8</v>
      </c>
      <c r="G257" t="str">
        <v>Signy-Avenex</v>
      </c>
      <c r="H257" t="str">
        <v>Signy-Avenex</v>
      </c>
      <c r="I257" t="str">
        <v>Signy-Avenex</v>
      </c>
    </row>
    <row r="258" spans="1:9">
      <c r="A258" t="s">
        <v>373</v>
      </c>
      <c r="B258" t="s">
        <v>12</v>
      </c>
      <c r="C258" s="285" t="s">
        <v>8</v>
      </c>
      <c r="D258" s="286" t="s">
        <v>8</v>
      </c>
      <c r="E258" s="287" t="s">
        <v>9</v>
      </c>
      <c r="G258" t="str">
        <v>Suchy</v>
      </c>
      <c r="H258" t="str">
        <v>Suchy</v>
      </c>
      <c r="I258" t="str">
        <v>Suchy</v>
      </c>
    </row>
    <row r="259" spans="1:9">
      <c r="A259" t="s">
        <v>144</v>
      </c>
      <c r="B259" t="s">
        <v>12</v>
      </c>
      <c r="C259" s="285" t="s">
        <v>8</v>
      </c>
      <c r="D259" s="286" t="s">
        <v>6</v>
      </c>
      <c r="E259" s="287" t="s">
        <v>6</v>
      </c>
      <c r="G259" t="str">
        <v>Sullens</v>
      </c>
      <c r="H259" t="str">
        <v>Sullens</v>
      </c>
      <c r="I259" t="str">
        <v>Sullens</v>
      </c>
    </row>
    <row r="260" spans="1:9">
      <c r="A260" t="s">
        <v>374</v>
      </c>
      <c r="B260" t="s">
        <v>12</v>
      </c>
      <c r="C260" s="285" t="s">
        <v>8</v>
      </c>
      <c r="D260" s="286" t="s">
        <v>9</v>
      </c>
      <c r="E260" s="287" t="s">
        <v>9</v>
      </c>
      <c r="G260" t="str">
        <v>Suscévaz</v>
      </c>
      <c r="H260" t="str">
        <v>Suscévaz</v>
      </c>
      <c r="I260" t="str">
        <v>Suscévaz</v>
      </c>
    </row>
    <row r="261" spans="1:9">
      <c r="A261" t="s">
        <v>246</v>
      </c>
      <c r="B261" t="s">
        <v>12</v>
      </c>
      <c r="C261" s="285" t="s">
        <v>8</v>
      </c>
      <c r="D261" s="286" t="s">
        <v>8</v>
      </c>
      <c r="E261" s="287" t="s">
        <v>9</v>
      </c>
      <c r="G261" t="str">
        <v>Syens</v>
      </c>
      <c r="H261" t="str">
        <v>Syens</v>
      </c>
      <c r="I261" t="str">
        <v>Syens</v>
      </c>
    </row>
    <row r="262" spans="1:9">
      <c r="A262" t="s">
        <v>278</v>
      </c>
      <c r="B262" t="s">
        <v>12</v>
      </c>
      <c r="C262" s="285" t="s">
        <v>6</v>
      </c>
      <c r="D262" s="286" t="s">
        <v>6</v>
      </c>
      <c r="E262" s="287" t="s">
        <v>6</v>
      </c>
      <c r="G262" t="str">
        <v>Tannay</v>
      </c>
      <c r="H262" t="str">
        <v>Tannay</v>
      </c>
      <c r="I262" t="str">
        <v>Tannay</v>
      </c>
    </row>
    <row r="263" spans="1:9">
      <c r="A263" t="s">
        <v>340</v>
      </c>
      <c r="B263" t="s">
        <v>12</v>
      </c>
      <c r="C263" s="285" t="s">
        <v>6</v>
      </c>
      <c r="D263" s="286" t="s">
        <v>8</v>
      </c>
      <c r="E263" s="287" t="s">
        <v>8</v>
      </c>
      <c r="G263" t="str">
        <v>Tartegnin</v>
      </c>
      <c r="H263" t="str">
        <v>Tartegnin</v>
      </c>
      <c r="I263" t="str">
        <v>Tartegnin</v>
      </c>
    </row>
    <row r="264" spans="1:9">
      <c r="A264" t="s">
        <v>183</v>
      </c>
      <c r="B264" t="s">
        <v>12</v>
      </c>
      <c r="C264" s="285" t="s">
        <v>10</v>
      </c>
      <c r="D264" s="286" t="s">
        <v>10</v>
      </c>
      <c r="E264" s="287" t="s">
        <v>9</v>
      </c>
      <c r="G264" t="str">
        <v>Tévenon</v>
      </c>
      <c r="H264" t="str">
        <v>Tévenon</v>
      </c>
      <c r="I264" t="str">
        <v>Tévenon</v>
      </c>
    </row>
    <row r="265" spans="1:9">
      <c r="A265" t="s">
        <v>226</v>
      </c>
      <c r="B265" t="s">
        <v>12</v>
      </c>
      <c r="C265" s="285" t="s">
        <v>6</v>
      </c>
      <c r="D265" s="286" t="s">
        <v>6</v>
      </c>
      <c r="E265" s="287" t="s">
        <v>6</v>
      </c>
      <c r="G265" t="str">
        <v>Tolochenaz</v>
      </c>
      <c r="H265" t="str">
        <v>Tolochenaz</v>
      </c>
      <c r="I265" t="str">
        <v>Tolochenaz</v>
      </c>
    </row>
    <row r="266" spans="1:9">
      <c r="A266" t="s">
        <v>279</v>
      </c>
      <c r="B266" t="s">
        <v>12</v>
      </c>
      <c r="C266" s="285" t="s">
        <v>6</v>
      </c>
      <c r="D266" s="286" t="s">
        <v>6</v>
      </c>
      <c r="E266" s="287" t="s">
        <v>6</v>
      </c>
      <c r="G266" t="str">
        <v>Trélex</v>
      </c>
      <c r="H266" t="str">
        <v>Trélex</v>
      </c>
      <c r="I266" t="str">
        <v>Trélex</v>
      </c>
    </row>
    <row r="267" spans="1:9">
      <c r="A267" t="s">
        <v>322</v>
      </c>
      <c r="B267" t="s">
        <v>12</v>
      </c>
      <c r="C267" s="285" t="s">
        <v>9</v>
      </c>
      <c r="D267" s="286" t="s">
        <v>10</v>
      </c>
      <c r="E267" s="287" t="s">
        <v>9</v>
      </c>
      <c r="G267" t="str">
        <v>Trey</v>
      </c>
      <c r="H267" t="str">
        <v>Trey</v>
      </c>
      <c r="I267" t="str">
        <v>Trey</v>
      </c>
    </row>
    <row r="268" spans="1:9">
      <c r="A268" t="s">
        <v>375</v>
      </c>
      <c r="B268" t="s">
        <v>12</v>
      </c>
      <c r="C268" s="285" t="s">
        <v>9</v>
      </c>
      <c r="D268" s="286" t="s">
        <v>9</v>
      </c>
      <c r="E268" s="287" t="s">
        <v>9</v>
      </c>
      <c r="G268" t="str">
        <v>Treycovagnes</v>
      </c>
      <c r="H268" t="str">
        <v>Treycovagnes</v>
      </c>
      <c r="I268" t="str">
        <v>Treycovagnes</v>
      </c>
    </row>
    <row r="269" spans="1:9">
      <c r="A269" t="s">
        <v>323</v>
      </c>
      <c r="B269" t="s">
        <v>12</v>
      </c>
      <c r="C269" s="285" t="s">
        <v>10</v>
      </c>
      <c r="D269" s="286" t="s">
        <v>11</v>
      </c>
      <c r="E269" s="287" t="s">
        <v>10</v>
      </c>
      <c r="G269" t="str">
        <v>Treytorrens (Payerne)</v>
      </c>
      <c r="H269" t="str">
        <v>Treytorrens (Payerne)</v>
      </c>
      <c r="I269" t="str">
        <v>Treytorrens (Payerne)</v>
      </c>
    </row>
    <row r="270" spans="1:9">
      <c r="A270" t="s">
        <v>376</v>
      </c>
      <c r="B270" t="s">
        <v>12</v>
      </c>
      <c r="C270" s="285" t="s">
        <v>9</v>
      </c>
      <c r="D270" s="286" t="s">
        <v>9</v>
      </c>
      <c r="E270" s="287" t="s">
        <v>9</v>
      </c>
      <c r="G270" t="str">
        <v>Ursins</v>
      </c>
      <c r="H270" t="str">
        <v>Ursins</v>
      </c>
      <c r="I270" t="str">
        <v>Ursins</v>
      </c>
    </row>
    <row r="271" spans="1:9">
      <c r="A271" t="s">
        <v>325</v>
      </c>
      <c r="B271" t="s">
        <v>12</v>
      </c>
      <c r="C271" s="285" t="s">
        <v>9</v>
      </c>
      <c r="D271" s="286" t="s">
        <v>9</v>
      </c>
      <c r="E271" s="287" t="s">
        <v>9</v>
      </c>
      <c r="G271" t="str">
        <v>Valbroye</v>
      </c>
      <c r="H271" t="str">
        <v>Valbroye</v>
      </c>
      <c r="I271" t="str">
        <v>Valbroye</v>
      </c>
    </row>
    <row r="272" spans="1:9">
      <c r="A272" t="s">
        <v>377</v>
      </c>
      <c r="B272" t="s">
        <v>12</v>
      </c>
      <c r="C272" s="285" t="s">
        <v>8</v>
      </c>
      <c r="D272" s="286" t="s">
        <v>9</v>
      </c>
      <c r="E272" s="287" t="s">
        <v>9</v>
      </c>
      <c r="G272" t="str">
        <v>Valeyres-sous-Montagny</v>
      </c>
      <c r="H272" t="str">
        <v>Valeyres-sous-Montagny</v>
      </c>
      <c r="I272" t="str">
        <v>Valeyres-sous-Montagny</v>
      </c>
    </row>
    <row r="273" spans="1:9">
      <c r="A273" t="s">
        <v>302</v>
      </c>
      <c r="B273" t="s">
        <v>12</v>
      </c>
      <c r="C273" s="285" t="s">
        <v>9</v>
      </c>
      <c r="D273" s="286" t="s">
        <v>9</v>
      </c>
      <c r="E273" s="287" t="s">
        <v>9</v>
      </c>
      <c r="G273" t="str">
        <v>Valeyres-sous-Rances</v>
      </c>
      <c r="H273" t="str">
        <v>Valeyres-sous-Rances</v>
      </c>
      <c r="I273" t="str">
        <v>Valeyres-sous-Rances</v>
      </c>
    </row>
    <row r="274" spans="1:9">
      <c r="A274" t="s">
        <v>378</v>
      </c>
      <c r="B274" t="s">
        <v>12</v>
      </c>
      <c r="C274" s="285" t="s">
        <v>9</v>
      </c>
      <c r="D274" s="286" t="s">
        <v>10</v>
      </c>
      <c r="E274" s="287" t="s">
        <v>10</v>
      </c>
      <c r="G274" t="str">
        <v>Valeyres-sous-Ursins</v>
      </c>
      <c r="H274" t="str">
        <v>Valeyres-sous-Ursins</v>
      </c>
      <c r="I274" t="str">
        <v>Valeyres-sous-Ursins</v>
      </c>
    </row>
    <row r="275" spans="1:9">
      <c r="A275" t="s">
        <v>303</v>
      </c>
      <c r="B275" t="s">
        <v>12</v>
      </c>
      <c r="C275" s="285" t="s">
        <v>9</v>
      </c>
      <c r="D275" s="286" t="s">
        <v>10</v>
      </c>
      <c r="E275" s="287" t="s">
        <v>10</v>
      </c>
      <c r="G275" t="str">
        <v>Vallorbe</v>
      </c>
      <c r="H275" t="str">
        <v>Vallorbe</v>
      </c>
      <c r="I275" t="str">
        <v>Vallorbe</v>
      </c>
    </row>
    <row r="276" spans="1:9">
      <c r="A276" t="s">
        <v>304</v>
      </c>
      <c r="B276" t="s">
        <v>12</v>
      </c>
      <c r="C276" s="285" t="s">
        <v>10</v>
      </c>
      <c r="D276" s="286" t="s">
        <v>10</v>
      </c>
      <c r="E276" s="287" t="s">
        <v>11</v>
      </c>
      <c r="G276" t="str">
        <v>Vaulion</v>
      </c>
      <c r="H276" t="str">
        <v>Vaulion</v>
      </c>
      <c r="I276" t="str">
        <v>Vaulion</v>
      </c>
    </row>
    <row r="277" spans="1:9">
      <c r="A277" t="s">
        <v>227</v>
      </c>
      <c r="B277" t="s">
        <v>12</v>
      </c>
      <c r="C277" s="285" t="s">
        <v>6</v>
      </c>
      <c r="D277" s="286" t="s">
        <v>8</v>
      </c>
      <c r="E277" s="287" t="s">
        <v>8</v>
      </c>
      <c r="G277" t="str">
        <v>Vaux-sur-Morges</v>
      </c>
      <c r="H277" t="str">
        <v>Vaux-sur-Morges</v>
      </c>
      <c r="I277" t="str">
        <v>Vaux-sur-Morges</v>
      </c>
    </row>
    <row r="278" spans="1:9">
      <c r="A278" t="s">
        <v>351</v>
      </c>
      <c r="B278" t="s">
        <v>12</v>
      </c>
      <c r="C278" s="285" t="s">
        <v>6</v>
      </c>
      <c r="D278" s="286" t="s">
        <v>6</v>
      </c>
      <c r="E278" s="287" t="s">
        <v>6</v>
      </c>
      <c r="G278" t="str">
        <v>Vevey</v>
      </c>
      <c r="H278" t="str">
        <v>Vevey</v>
      </c>
      <c r="I278" t="str">
        <v>Vevey</v>
      </c>
    </row>
    <row r="279" spans="1:9">
      <c r="A279" t="s">
        <v>352</v>
      </c>
      <c r="B279" t="s">
        <v>12</v>
      </c>
      <c r="C279" s="285" t="s">
        <v>6</v>
      </c>
      <c r="D279" s="286" t="s">
        <v>6</v>
      </c>
      <c r="E279" s="287" t="s">
        <v>8</v>
      </c>
      <c r="G279" t="str">
        <v>Veytaux</v>
      </c>
      <c r="H279" t="str">
        <v>Veytaux</v>
      </c>
      <c r="I279" t="str">
        <v>Veytaux</v>
      </c>
    </row>
    <row r="280" spans="1:9">
      <c r="A280" t="s">
        <v>281</v>
      </c>
      <c r="B280" t="s">
        <v>12</v>
      </c>
      <c r="C280" s="285" t="s">
        <v>6</v>
      </c>
      <c r="D280" s="286" t="s">
        <v>6</v>
      </c>
      <c r="E280" s="287" t="s">
        <v>6</v>
      </c>
      <c r="G280" t="str">
        <v>Vich</v>
      </c>
      <c r="H280" t="str">
        <v>Vich</v>
      </c>
      <c r="I280" t="str">
        <v>Vich</v>
      </c>
    </row>
    <row r="281" spans="1:9">
      <c r="A281" t="s">
        <v>379</v>
      </c>
      <c r="B281" t="s">
        <v>12</v>
      </c>
      <c r="C281" s="285" t="s">
        <v>9</v>
      </c>
      <c r="D281" s="286" t="s">
        <v>9</v>
      </c>
      <c r="E281" s="287" t="s">
        <v>9</v>
      </c>
      <c r="G281" t="str">
        <v>Villars-Epeney</v>
      </c>
      <c r="H281" t="str">
        <v>Villars-Epeney</v>
      </c>
      <c r="I281" t="str">
        <v>Villars-Epeney</v>
      </c>
    </row>
    <row r="282" spans="1:9">
      <c r="A282" t="s">
        <v>247</v>
      </c>
      <c r="B282" t="s">
        <v>12</v>
      </c>
      <c r="C282" s="285" t="s">
        <v>10</v>
      </c>
      <c r="D282" s="286" t="s">
        <v>11</v>
      </c>
      <c r="E282" s="287" t="s">
        <v>10</v>
      </c>
      <c r="G282" t="str">
        <v>Villars-le-Comte</v>
      </c>
      <c r="H282" t="str">
        <v>Villars-le-Comte</v>
      </c>
      <c r="I282" t="str">
        <v>Villars-le-Comte</v>
      </c>
    </row>
    <row r="283" spans="1:9">
      <c r="A283" t="s">
        <v>163</v>
      </c>
      <c r="B283" t="s">
        <v>12</v>
      </c>
      <c r="C283" s="285" t="s">
        <v>8</v>
      </c>
      <c r="D283" s="286" t="s">
        <v>8</v>
      </c>
      <c r="E283" s="287" t="s">
        <v>8</v>
      </c>
      <c r="G283" t="str">
        <v>Villars-le-Terroir</v>
      </c>
      <c r="H283" t="str">
        <v>Villars-le-Terroir</v>
      </c>
      <c r="I283" t="str">
        <v>Villars-le-Terroir</v>
      </c>
    </row>
    <row r="284" spans="1:9">
      <c r="A284" t="s">
        <v>228</v>
      </c>
      <c r="B284" t="s">
        <v>12</v>
      </c>
      <c r="C284" s="285" t="s">
        <v>6</v>
      </c>
      <c r="D284" s="286" t="s">
        <v>6</v>
      </c>
      <c r="E284" s="287" t="s">
        <v>8</v>
      </c>
      <c r="G284" t="str">
        <v>Villars-Sainte-Croix</v>
      </c>
      <c r="H284" t="str">
        <v>Villars-Sainte-Croix</v>
      </c>
      <c r="I284" t="str">
        <v>Villars-Sainte-Croix</v>
      </c>
    </row>
    <row r="285" spans="1:9">
      <c r="A285" t="s">
        <v>229</v>
      </c>
      <c r="B285" t="s">
        <v>12</v>
      </c>
      <c r="C285" s="285" t="s">
        <v>6</v>
      </c>
      <c r="D285" s="286" t="s">
        <v>8</v>
      </c>
      <c r="E285" s="287" t="s">
        <v>8</v>
      </c>
      <c r="G285" t="str">
        <v>Villars-sous-Yens</v>
      </c>
      <c r="H285" t="str">
        <v>Villars-sous-Yens</v>
      </c>
      <c r="I285" t="str">
        <v>Villars-sous-Yens</v>
      </c>
    </row>
    <row r="286" spans="1:9">
      <c r="A286" t="s">
        <v>324</v>
      </c>
      <c r="B286" t="s">
        <v>12</v>
      </c>
      <c r="C286" s="285" t="s">
        <v>9</v>
      </c>
      <c r="D286" s="286" t="s">
        <v>10</v>
      </c>
      <c r="E286" s="287" t="s">
        <v>9</v>
      </c>
      <c r="G286" t="str">
        <v>Villarzel</v>
      </c>
      <c r="H286" t="str">
        <v>Villarzel</v>
      </c>
      <c r="I286" t="str">
        <v>Villarzel</v>
      </c>
    </row>
    <row r="287" spans="1:9">
      <c r="A287" t="s">
        <v>97</v>
      </c>
      <c r="B287" t="s">
        <v>12</v>
      </c>
      <c r="C287" s="285" t="s">
        <v>6</v>
      </c>
      <c r="D287" s="286" t="s">
        <v>8</v>
      </c>
      <c r="E287" s="287" t="s">
        <v>8</v>
      </c>
      <c r="G287" t="str">
        <v>Villeneuve (VD)</v>
      </c>
      <c r="H287" t="str">
        <v>Villeneuve (VD)</v>
      </c>
      <c r="I287" t="str">
        <v>Villeneuve (VD)</v>
      </c>
    </row>
    <row r="288" spans="1:9">
      <c r="A288" t="s">
        <v>341</v>
      </c>
      <c r="B288" t="s">
        <v>12</v>
      </c>
      <c r="C288" s="285" t="s">
        <v>6</v>
      </c>
      <c r="D288" s="286" t="s">
        <v>6</v>
      </c>
      <c r="E288" s="287" t="s">
        <v>8</v>
      </c>
      <c r="G288" t="str">
        <v>Vinzel</v>
      </c>
      <c r="H288" t="str">
        <v>Vinzel</v>
      </c>
      <c r="I288" t="str">
        <v>Vinzel</v>
      </c>
    </row>
    <row r="289" spans="1:9">
      <c r="A289" t="s">
        <v>164</v>
      </c>
      <c r="B289" t="s">
        <v>12</v>
      </c>
      <c r="C289" s="285" t="s">
        <v>8</v>
      </c>
      <c r="D289" s="286" t="s">
        <v>9</v>
      </c>
      <c r="E289" s="287" t="s">
        <v>9</v>
      </c>
      <c r="G289" t="str">
        <v>Vuarrens</v>
      </c>
      <c r="H289" t="str">
        <v>Vuarrens</v>
      </c>
      <c r="I289" t="str">
        <v>Vuarrens</v>
      </c>
    </row>
    <row r="290" spans="1:9">
      <c r="A290" t="s">
        <v>248</v>
      </c>
      <c r="B290" t="s">
        <v>12</v>
      </c>
      <c r="C290" s="285" t="s">
        <v>9</v>
      </c>
      <c r="D290" s="286" t="s">
        <v>9</v>
      </c>
      <c r="E290" s="287" t="s">
        <v>9</v>
      </c>
      <c r="G290" t="str">
        <v>Vucherens</v>
      </c>
      <c r="H290" t="str">
        <v>Vucherens</v>
      </c>
      <c r="I290" t="str">
        <v>Vucherens</v>
      </c>
    </row>
    <row r="291" spans="1:9">
      <c r="A291" t="s">
        <v>145</v>
      </c>
      <c r="B291" t="s">
        <v>12</v>
      </c>
      <c r="C291" s="285" t="s">
        <v>6</v>
      </c>
      <c r="D291" s="286" t="s">
        <v>6</v>
      </c>
      <c r="E291" s="287" t="s">
        <v>6</v>
      </c>
      <c r="G291" t="str">
        <v>Vufflens-la-Ville</v>
      </c>
      <c r="H291" t="str">
        <v>Vufflens-la-Ville</v>
      </c>
      <c r="I291" t="str">
        <v>Vufflens-la-Ville</v>
      </c>
    </row>
    <row r="292" spans="1:9">
      <c r="A292" t="s">
        <v>230</v>
      </c>
      <c r="B292" t="s">
        <v>12</v>
      </c>
      <c r="C292" s="285" t="s">
        <v>6</v>
      </c>
      <c r="D292" s="286" t="s">
        <v>8</v>
      </c>
      <c r="E292" s="287" t="s">
        <v>6</v>
      </c>
      <c r="G292" t="str">
        <v>Vufflens-le-Château</v>
      </c>
      <c r="H292" t="str">
        <v>Vufflens-le-Château</v>
      </c>
      <c r="I292" t="str">
        <v>Vufflens-le-Château</v>
      </c>
    </row>
    <row r="293" spans="1:9">
      <c r="A293" t="s">
        <v>380</v>
      </c>
      <c r="B293" t="s">
        <v>12</v>
      </c>
      <c r="C293" s="285" t="s">
        <v>9</v>
      </c>
      <c r="D293" s="286" t="s">
        <v>10</v>
      </c>
      <c r="E293" s="287" t="s">
        <v>10</v>
      </c>
      <c r="G293" t="str">
        <v>Vugelles-La Mothe</v>
      </c>
      <c r="H293" t="str">
        <v>Vugelles-La Mothe</v>
      </c>
      <c r="I293" t="str">
        <v>Vugelles-La Mothe</v>
      </c>
    </row>
    <row r="294" spans="1:9">
      <c r="A294" t="s">
        <v>305</v>
      </c>
      <c r="B294" t="s">
        <v>12</v>
      </c>
      <c r="C294" s="285" t="s">
        <v>9</v>
      </c>
      <c r="D294" s="286" t="s">
        <v>10</v>
      </c>
      <c r="E294" s="287" t="s">
        <v>10</v>
      </c>
      <c r="G294" t="str">
        <v>Vuiteboeuf</v>
      </c>
      <c r="H294" t="str">
        <v>Vuiteboeuf</v>
      </c>
      <c r="I294" t="str">
        <v>Vuiteboeuf</v>
      </c>
    </row>
    <row r="295" spans="1:9">
      <c r="A295" t="s">
        <v>311</v>
      </c>
      <c r="B295" t="s">
        <v>12</v>
      </c>
      <c r="C295" s="285" t="s">
        <v>8</v>
      </c>
      <c r="D295" s="286" t="s">
        <v>10</v>
      </c>
      <c r="E295" s="287" t="s">
        <v>9</v>
      </c>
      <c r="G295" t="str">
        <v>Vulliens</v>
      </c>
      <c r="H295" t="str">
        <v>Vulliens</v>
      </c>
      <c r="I295" t="str">
        <v>Vulliens</v>
      </c>
    </row>
    <row r="296" spans="1:9">
      <c r="A296" t="s">
        <v>231</v>
      </c>
      <c r="B296" t="s">
        <v>12</v>
      </c>
      <c r="C296" s="285" t="s">
        <v>6</v>
      </c>
      <c r="D296" s="286" t="s">
        <v>8</v>
      </c>
      <c r="E296" s="287" t="s">
        <v>8</v>
      </c>
      <c r="G296" t="str">
        <v>Vullierens</v>
      </c>
      <c r="H296" t="str">
        <v>Vullierens</v>
      </c>
      <c r="I296" t="str">
        <v>Vullierens</v>
      </c>
    </row>
    <row r="297" spans="1:9">
      <c r="A297" t="s">
        <v>116</v>
      </c>
      <c r="B297" t="s">
        <v>12</v>
      </c>
      <c r="C297" s="285" t="s">
        <v>9</v>
      </c>
      <c r="D297" s="286" t="s">
        <v>9</v>
      </c>
      <c r="E297" s="287" t="s">
        <v>8</v>
      </c>
      <c r="G297" t="str">
        <v>Vully-les-Lacs</v>
      </c>
      <c r="H297" t="str">
        <v>Vully-les-Lacs</v>
      </c>
      <c r="I297" t="str">
        <v>Vully-les-Lacs</v>
      </c>
    </row>
    <row r="298" spans="1:9">
      <c r="A298" t="s">
        <v>232</v>
      </c>
      <c r="B298" t="s">
        <v>12</v>
      </c>
      <c r="C298" s="285" t="s">
        <v>6</v>
      </c>
      <c r="D298" s="286" t="s">
        <v>8</v>
      </c>
      <c r="E298" s="287" t="s">
        <v>8</v>
      </c>
      <c r="G298" t="str">
        <v>Yens</v>
      </c>
      <c r="H298" t="str">
        <v>Yens</v>
      </c>
      <c r="I298" t="str">
        <v>Yens</v>
      </c>
    </row>
    <row r="299" spans="1:9">
      <c r="A299" t="s">
        <v>381</v>
      </c>
      <c r="B299" t="s">
        <v>12</v>
      </c>
      <c r="C299" s="285" t="s">
        <v>6</v>
      </c>
      <c r="D299" s="286" t="s">
        <v>8</v>
      </c>
      <c r="E299" s="287" t="s">
        <v>8</v>
      </c>
      <c r="G299" t="str">
        <v>Yverdon-les-Bains</v>
      </c>
      <c r="H299" t="str">
        <v>Yverdon-les-Bains</v>
      </c>
      <c r="I299" t="str">
        <v>Yverdon-les-Bains</v>
      </c>
    </row>
    <row r="300" spans="1:9">
      <c r="A300" t="s">
        <v>382</v>
      </c>
      <c r="B300" t="s">
        <v>12</v>
      </c>
      <c r="C300" s="285" t="s">
        <v>8</v>
      </c>
      <c r="D300" s="286" t="s">
        <v>9</v>
      </c>
      <c r="E300" s="287" t="s">
        <v>9</v>
      </c>
      <c r="G300" t="str">
        <v>Yvonand</v>
      </c>
      <c r="H300" t="str">
        <v>Yvonand</v>
      </c>
      <c r="I300" t="str">
        <v>Yvonand</v>
      </c>
    </row>
    <row r="301" spans="1:9">
      <c r="A301" t="s">
        <v>98</v>
      </c>
      <c r="B301" t="s">
        <v>12</v>
      </c>
      <c r="C301" s="285" t="s">
        <v>9</v>
      </c>
      <c r="D301" s="286" t="s">
        <v>9</v>
      </c>
      <c r="E301" s="287" t="s">
        <v>9</v>
      </c>
      <c r="G301" t="str">
        <v>Yvorne</v>
      </c>
      <c r="H301" t="str">
        <v>Yvorne</v>
      </c>
      <c r="I301" t="str">
        <v>Yvorne</v>
      </c>
    </row>
    <row r="302" spans="1:9">
      <c r="A302" s="56"/>
      <c r="B302" s="57"/>
      <c r="C302" s="60"/>
      <c r="D302" s="60"/>
      <c r="E302" s="60"/>
    </row>
    <row r="303" spans="1:9">
      <c r="A303" s="56"/>
      <c r="B303" s="57"/>
      <c r="C303" s="60"/>
      <c r="D303" s="60"/>
      <c r="E303" s="60"/>
    </row>
    <row r="304" spans="1:9">
      <c r="A304" s="56"/>
      <c r="B304" s="57"/>
      <c r="C304" s="60"/>
      <c r="D304" s="60"/>
      <c r="E304" s="60"/>
    </row>
    <row r="305" spans="1:5">
      <c r="A305" s="56"/>
      <c r="B305" s="57"/>
      <c r="C305" s="60"/>
      <c r="D305" s="60"/>
      <c r="E305" s="60"/>
    </row>
    <row r="306" spans="1:5">
      <c r="A306" s="56"/>
      <c r="B306" s="57"/>
      <c r="C306" s="60"/>
      <c r="D306" s="60"/>
      <c r="E306" s="60"/>
    </row>
    <row r="307" spans="1:5">
      <c r="A307" s="56"/>
      <c r="B307" s="57"/>
      <c r="C307" s="60"/>
      <c r="D307" s="60"/>
      <c r="E307" s="60"/>
    </row>
    <row r="308" spans="1:5">
      <c r="A308" s="56"/>
      <c r="B308" s="57"/>
      <c r="C308" s="60"/>
      <c r="D308" s="60"/>
      <c r="E308" s="60"/>
    </row>
    <row r="309" spans="1:5">
      <c r="A309" s="56"/>
      <c r="B309" s="57"/>
      <c r="C309" s="60"/>
      <c r="D309" s="60"/>
      <c r="E309" s="60"/>
    </row>
    <row r="310" spans="1:5">
      <c r="A310" s="56"/>
      <c r="B310" s="57"/>
      <c r="C310" s="60"/>
      <c r="D310" s="60"/>
      <c r="E310" s="60"/>
    </row>
    <row r="311" spans="1:5">
      <c r="A311" s="56"/>
      <c r="B311" s="57"/>
      <c r="C311" s="60"/>
      <c r="D311" s="60"/>
      <c r="E311" s="60"/>
    </row>
    <row r="312" spans="1:5">
      <c r="A312" s="56"/>
      <c r="B312" s="57"/>
      <c r="C312" s="60"/>
      <c r="D312" s="60"/>
      <c r="E312" s="60"/>
    </row>
    <row r="313" spans="1:5">
      <c r="A313" s="56"/>
      <c r="B313" s="57"/>
      <c r="C313" s="60"/>
      <c r="D313" s="60"/>
      <c r="E313" s="60"/>
    </row>
    <row r="314" spans="1:5">
      <c r="A314" s="56"/>
      <c r="B314" s="57"/>
      <c r="C314" s="60"/>
      <c r="D314" s="60"/>
      <c r="E314" s="60"/>
    </row>
    <row r="315" spans="1:5">
      <c r="A315" s="56"/>
      <c r="B315" s="57"/>
      <c r="C315" s="60"/>
      <c r="D315" s="60"/>
      <c r="E315" s="60"/>
    </row>
    <row r="316" spans="1:5">
      <c r="A316" s="56"/>
      <c r="B316" s="57"/>
      <c r="C316" s="60"/>
      <c r="D316" s="60"/>
      <c r="E316" s="60"/>
    </row>
    <row r="317" spans="1:5">
      <c r="A317" s="56"/>
      <c r="B317" s="57"/>
      <c r="C317" s="60"/>
      <c r="D317" s="60"/>
      <c r="E317" s="60"/>
    </row>
    <row r="318" spans="1:5">
      <c r="A318" s="56"/>
      <c r="B318" s="57"/>
      <c r="C318" s="60"/>
      <c r="D318" s="60"/>
      <c r="E318" s="60"/>
    </row>
    <row r="319" spans="1:5">
      <c r="A319" s="56"/>
      <c r="B319" s="57"/>
      <c r="C319" s="60"/>
      <c r="D319" s="60"/>
      <c r="E319" s="60"/>
    </row>
    <row r="320" spans="1:5">
      <c r="A320" s="56"/>
      <c r="B320" s="57"/>
      <c r="C320" s="60"/>
      <c r="D320" s="60"/>
      <c r="E320" s="60"/>
    </row>
    <row r="321" spans="1:5">
      <c r="A321" s="56"/>
      <c r="B321" s="57"/>
      <c r="C321" s="60"/>
      <c r="D321" s="60"/>
      <c r="E321" s="60"/>
    </row>
    <row r="322" spans="1:5">
      <c r="A322" s="56"/>
      <c r="B322" s="57"/>
      <c r="C322" s="60"/>
      <c r="D322" s="60"/>
      <c r="E322" s="60"/>
    </row>
    <row r="323" spans="1:5">
      <c r="A323" s="56"/>
      <c r="B323" s="57"/>
      <c r="C323" s="60"/>
      <c r="D323" s="60"/>
      <c r="E323" s="60"/>
    </row>
    <row r="324" spans="1:5">
      <c r="A324" s="56"/>
      <c r="B324" s="57"/>
      <c r="C324" s="60"/>
      <c r="D324" s="60"/>
      <c r="E324" s="60"/>
    </row>
    <row r="325" spans="1:5">
      <c r="A325" s="56"/>
      <c r="B325" s="57"/>
      <c r="C325" s="60"/>
      <c r="D325" s="60"/>
      <c r="E325" s="60"/>
    </row>
    <row r="326" spans="1:5">
      <c r="A326" s="56"/>
      <c r="B326" s="57"/>
      <c r="C326" s="60"/>
      <c r="D326" s="60"/>
      <c r="E326" s="60"/>
    </row>
    <row r="327" spans="1:5">
      <c r="A327" s="56"/>
      <c r="B327" s="57"/>
      <c r="C327" s="60"/>
      <c r="D327" s="60"/>
      <c r="E327" s="60"/>
    </row>
    <row r="328" spans="1:5">
      <c r="A328" s="56"/>
      <c r="B328" s="57"/>
      <c r="C328" s="60"/>
      <c r="D328" s="60"/>
      <c r="E328" s="60"/>
    </row>
    <row r="329" spans="1:5">
      <c r="A329" s="56"/>
      <c r="B329" s="57"/>
      <c r="C329" s="60"/>
      <c r="D329" s="60"/>
      <c r="E329" s="60"/>
    </row>
    <row r="330" spans="1:5">
      <c r="A330" s="56"/>
      <c r="B330" s="57"/>
      <c r="C330" s="60"/>
      <c r="D330" s="60"/>
      <c r="E330" s="60"/>
    </row>
    <row r="331" spans="1:5">
      <c r="A331" s="56"/>
      <c r="B331" s="57"/>
      <c r="C331" s="60"/>
      <c r="D331" s="60"/>
      <c r="E331" s="60"/>
    </row>
    <row r="332" spans="1:5">
      <c r="A332" s="56"/>
      <c r="B332" s="57"/>
      <c r="C332" s="60"/>
      <c r="D332" s="60"/>
      <c r="E332" s="60"/>
    </row>
    <row r="333" spans="1:5">
      <c r="A333" s="56"/>
      <c r="B333" s="57"/>
      <c r="C333" s="60"/>
      <c r="D333" s="60"/>
      <c r="E333" s="60"/>
    </row>
    <row r="334" spans="1:5">
      <c r="A334" s="56"/>
      <c r="B334" s="57"/>
      <c r="C334" s="60"/>
      <c r="D334" s="60"/>
      <c r="E334" s="60"/>
    </row>
    <row r="335" spans="1:5">
      <c r="A335" s="56"/>
      <c r="B335" s="57"/>
      <c r="C335" s="60"/>
      <c r="D335" s="60"/>
      <c r="E335" s="60"/>
    </row>
    <row r="336" spans="1:5">
      <c r="A336" s="56"/>
      <c r="B336" s="57"/>
      <c r="C336" s="60"/>
      <c r="D336" s="60"/>
      <c r="E336" s="60"/>
    </row>
    <row r="337" spans="1:5">
      <c r="A337" s="56"/>
      <c r="B337" s="57"/>
      <c r="C337" s="60"/>
      <c r="D337" s="60"/>
      <c r="E337" s="60"/>
    </row>
    <row r="338" spans="1:5">
      <c r="A338" s="56"/>
      <c r="B338" s="57"/>
      <c r="C338" s="60"/>
      <c r="D338" s="60"/>
      <c r="E338" s="60"/>
    </row>
    <row r="339" spans="1:5">
      <c r="A339" s="56"/>
      <c r="B339" s="57"/>
      <c r="C339" s="60"/>
      <c r="D339" s="60"/>
      <c r="E339" s="60"/>
    </row>
    <row r="340" spans="1:5">
      <c r="A340" s="56"/>
      <c r="B340" s="57"/>
      <c r="C340" s="60"/>
      <c r="D340" s="60"/>
      <c r="E340" s="60"/>
    </row>
    <row r="341" spans="1:5">
      <c r="A341" s="56"/>
      <c r="B341" s="57"/>
      <c r="C341" s="60"/>
      <c r="D341" s="60"/>
      <c r="E341" s="60"/>
    </row>
    <row r="342" spans="1:5">
      <c r="A342" s="56"/>
      <c r="B342" s="57"/>
      <c r="C342" s="60"/>
      <c r="D342" s="60"/>
      <c r="E342" s="60"/>
    </row>
    <row r="343" spans="1:5">
      <c r="A343" s="56"/>
      <c r="B343" s="57"/>
      <c r="C343" s="60"/>
      <c r="D343" s="60"/>
      <c r="E343" s="60"/>
    </row>
    <row r="344" spans="1:5">
      <c r="A344" s="56"/>
      <c r="B344" s="57"/>
      <c r="C344" s="60"/>
      <c r="D344" s="60"/>
      <c r="E344" s="60"/>
    </row>
    <row r="345" spans="1:5">
      <c r="A345" s="56"/>
      <c r="B345" s="57"/>
      <c r="C345" s="60"/>
      <c r="D345" s="60"/>
      <c r="E345" s="60"/>
    </row>
    <row r="346" spans="1:5">
      <c r="A346" s="56"/>
      <c r="B346" s="57"/>
      <c r="C346" s="60"/>
      <c r="D346" s="60"/>
      <c r="E346" s="60"/>
    </row>
    <row r="347" spans="1:5">
      <c r="A347" s="56"/>
      <c r="B347" s="57"/>
      <c r="C347" s="60"/>
      <c r="D347" s="60"/>
      <c r="E347" s="60"/>
    </row>
    <row r="348" spans="1:5">
      <c r="A348" s="56"/>
      <c r="B348" s="57"/>
      <c r="C348" s="60"/>
      <c r="D348" s="60"/>
      <c r="E348" s="60"/>
    </row>
    <row r="349" spans="1:5">
      <c r="A349" s="56"/>
      <c r="B349" s="57"/>
      <c r="C349" s="60"/>
      <c r="D349" s="60"/>
      <c r="E349" s="60"/>
    </row>
    <row r="350" spans="1:5">
      <c r="A350" s="56"/>
      <c r="B350" s="57"/>
      <c r="C350" s="60"/>
      <c r="D350" s="60"/>
      <c r="E350" s="60"/>
    </row>
    <row r="351" spans="1:5">
      <c r="A351" s="56"/>
      <c r="B351" s="57"/>
      <c r="C351" s="60"/>
      <c r="D351" s="60"/>
      <c r="E351" s="60"/>
    </row>
    <row r="352" spans="1:5">
      <c r="A352" s="56"/>
      <c r="B352" s="57"/>
      <c r="C352" s="60"/>
      <c r="D352" s="60"/>
      <c r="E352" s="60"/>
    </row>
    <row r="353" spans="1:5">
      <c r="A353" s="56"/>
      <c r="B353" s="57"/>
      <c r="C353" s="60"/>
      <c r="D353" s="60"/>
      <c r="E353" s="60"/>
    </row>
    <row r="354" spans="1:5">
      <c r="A354" s="56"/>
      <c r="B354" s="57"/>
      <c r="C354" s="60"/>
      <c r="D354" s="60"/>
      <c r="E354" s="60"/>
    </row>
    <row r="355" spans="1:5">
      <c r="A355" s="58"/>
      <c r="B355" s="59"/>
      <c r="C355" s="60"/>
      <c r="D355" s="60"/>
      <c r="E355" s="60"/>
    </row>
    <row r="407" spans="1:5">
      <c r="A407" s="17"/>
      <c r="B407" s="17"/>
      <c r="C407" s="17"/>
      <c r="D407" s="17"/>
      <c r="E407" s="17"/>
    </row>
    <row r="408" spans="1:5">
      <c r="A408" s="17"/>
      <c r="B408" s="17"/>
      <c r="C408" s="17"/>
      <c r="D408" s="17"/>
      <c r="E408" s="17"/>
    </row>
    <row r="409" spans="1:5">
      <c r="A409" s="17"/>
      <c r="B409" s="17"/>
      <c r="C409" s="17"/>
      <c r="D409" s="17"/>
      <c r="E409" s="17"/>
    </row>
    <row r="410" spans="1:5">
      <c r="A410" s="17"/>
      <c r="B410" s="17"/>
      <c r="C410" s="17"/>
      <c r="D410" s="17"/>
      <c r="E410" s="17"/>
    </row>
    <row r="411" spans="1:5">
      <c r="A411" s="16"/>
      <c r="B411" s="16"/>
      <c r="C411" s="16"/>
      <c r="D411" s="17"/>
      <c r="E411" s="16"/>
    </row>
    <row r="412" spans="1:5">
      <c r="A412" s="16"/>
      <c r="B412" s="16"/>
      <c r="C412" s="16"/>
      <c r="D412" s="17"/>
      <c r="E412" s="16"/>
    </row>
    <row r="413" spans="1:5">
      <c r="A413" s="16"/>
      <c r="B413" s="16"/>
      <c r="C413" s="16"/>
      <c r="D413" s="17"/>
      <c r="E413" s="16"/>
    </row>
    <row r="414" spans="1:5">
      <c r="A414" s="16"/>
      <c r="B414" s="16"/>
      <c r="C414" s="16"/>
      <c r="D414" s="17"/>
      <c r="E414" s="16"/>
    </row>
    <row r="415" spans="1:5">
      <c r="A415" s="16"/>
      <c r="B415" s="16"/>
      <c r="C415" s="16"/>
      <c r="D415" s="17"/>
      <c r="E415" s="16"/>
    </row>
    <row r="416" spans="1:5">
      <c r="A416" s="16"/>
      <c r="B416" s="16"/>
      <c r="C416" s="16"/>
      <c r="D416" s="17"/>
      <c r="E416" s="16"/>
    </row>
    <row r="417" spans="1:5">
      <c r="A417" s="16"/>
      <c r="B417" s="16"/>
      <c r="C417" s="16"/>
      <c r="D417" s="17"/>
      <c r="E417" s="16"/>
    </row>
    <row r="418" spans="1:5">
      <c r="A418" s="16"/>
      <c r="B418" s="16"/>
      <c r="C418" s="16"/>
      <c r="D418" s="17"/>
      <c r="E418" s="16"/>
    </row>
    <row r="419" spans="1:5">
      <c r="A419" s="16"/>
      <c r="B419" s="16"/>
      <c r="C419" s="16"/>
      <c r="D419" s="17"/>
      <c r="E419" s="16"/>
    </row>
    <row r="420" spans="1:5">
      <c r="A420" s="16"/>
      <c r="B420" s="16"/>
      <c r="C420" s="16"/>
      <c r="D420" s="17"/>
      <c r="E420" s="16"/>
    </row>
    <row r="421" spans="1:5">
      <c r="A421" s="16"/>
      <c r="B421" s="16"/>
      <c r="C421" s="16"/>
      <c r="D421" s="17"/>
      <c r="E421" s="16"/>
    </row>
    <row r="422" spans="1:5">
      <c r="A422" s="16"/>
      <c r="B422" s="16"/>
      <c r="C422" s="16"/>
      <c r="D422" s="17"/>
      <c r="E422" s="16"/>
    </row>
    <row r="423" spans="1:5">
      <c r="C423" s="16"/>
      <c r="D423" s="17"/>
      <c r="E423" s="16"/>
    </row>
    <row r="424" spans="1:5">
      <c r="C424" s="16"/>
      <c r="D424" s="17"/>
      <c r="E424" s="16"/>
    </row>
    <row r="425" spans="1:5">
      <c r="C425" s="16"/>
      <c r="D425" s="17"/>
      <c r="E425" s="16"/>
    </row>
    <row r="426" spans="1:5">
      <c r="C426" s="16"/>
      <c r="D426" s="17"/>
      <c r="E426" s="16"/>
    </row>
    <row r="427" spans="1:5">
      <c r="C427" s="16"/>
      <c r="D427" s="17"/>
      <c r="E427" s="16"/>
    </row>
    <row r="428" spans="1:5">
      <c r="C428" s="16"/>
      <c r="D428" s="17"/>
      <c r="E428" s="16"/>
    </row>
    <row r="429" spans="1:5">
      <c r="C429" s="16"/>
      <c r="D429" s="17"/>
      <c r="E429" s="16"/>
    </row>
    <row r="430" spans="1:5">
      <c r="C430" s="16"/>
      <c r="D430" s="17"/>
      <c r="E430" s="16"/>
    </row>
    <row r="2254" spans="6:127">
      <c r="F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  <c r="AX2254" s="17"/>
      <c r="AY2254" s="17"/>
      <c r="AZ2254" s="17"/>
      <c r="BA2254" s="17"/>
      <c r="BB2254" s="17"/>
      <c r="BC2254" s="17"/>
      <c r="BD2254" s="17"/>
      <c r="BE2254" s="17"/>
      <c r="BF2254" s="17"/>
      <c r="BG2254" s="17"/>
      <c r="BH2254" s="17"/>
      <c r="BI2254" s="17"/>
      <c r="BJ2254" s="17"/>
      <c r="BK2254" s="17"/>
      <c r="BL2254" s="17"/>
      <c r="BM2254" s="17"/>
      <c r="BN2254" s="17"/>
      <c r="BO2254" s="17"/>
      <c r="BP2254" s="17"/>
      <c r="BQ2254" s="17"/>
      <c r="BR2254" s="17"/>
      <c r="BS2254" s="17"/>
      <c r="BT2254" s="17"/>
      <c r="BU2254" s="17"/>
      <c r="BV2254" s="17"/>
      <c r="BW2254" s="17"/>
      <c r="BX2254" s="17"/>
      <c r="BY2254" s="17"/>
      <c r="BZ2254" s="17"/>
      <c r="CA2254" s="17"/>
      <c r="CB2254" s="17"/>
      <c r="CC2254" s="17"/>
      <c r="CD2254" s="17"/>
      <c r="CE2254" s="17"/>
      <c r="CF2254" s="17"/>
      <c r="CG2254" s="17"/>
      <c r="CH2254" s="17"/>
      <c r="CI2254" s="17"/>
      <c r="CJ2254" s="17"/>
      <c r="CK2254" s="17"/>
      <c r="CL2254" s="17"/>
      <c r="CM2254" s="17"/>
      <c r="CN2254" s="17"/>
      <c r="CO2254" s="17"/>
      <c r="CP2254" s="17"/>
      <c r="CQ2254" s="17"/>
      <c r="CR2254" s="17"/>
      <c r="CS2254" s="17"/>
      <c r="CT2254" s="17"/>
      <c r="CU2254" s="17"/>
      <c r="CV2254" s="17"/>
      <c r="CW2254" s="17"/>
      <c r="CX2254" s="17"/>
      <c r="CY2254" s="17"/>
      <c r="CZ2254" s="17"/>
      <c r="DA2254" s="17"/>
      <c r="DB2254" s="17"/>
      <c r="DC2254" s="17"/>
      <c r="DD2254" s="17"/>
      <c r="DE2254" s="17"/>
      <c r="DF2254" s="17"/>
      <c r="DG2254" s="17"/>
      <c r="DH2254" s="17"/>
      <c r="DI2254" s="17"/>
      <c r="DJ2254" s="17"/>
      <c r="DK2254" s="17"/>
      <c r="DL2254" s="17"/>
      <c r="DM2254" s="17"/>
      <c r="DN2254" s="17"/>
      <c r="DO2254" s="17"/>
      <c r="DP2254" s="17"/>
      <c r="DQ2254" s="17"/>
      <c r="DR2254" s="17"/>
      <c r="DS2254" s="17"/>
      <c r="DT2254" s="17"/>
      <c r="DU2254" s="17"/>
      <c r="DV2254" s="17"/>
      <c r="DW2254" s="17"/>
    </row>
    <row r="2255" spans="6:127"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  <c r="AX2255" s="17"/>
      <c r="AY2255" s="17"/>
      <c r="AZ2255" s="17"/>
      <c r="BA2255" s="17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  <c r="BO2255" s="17"/>
      <c r="BP2255" s="17"/>
      <c r="BQ2255" s="17"/>
      <c r="BR2255" s="17"/>
      <c r="BS2255" s="17"/>
      <c r="BT2255" s="17"/>
      <c r="BU2255" s="17"/>
      <c r="BV2255" s="17"/>
      <c r="BW2255" s="17"/>
      <c r="BX2255" s="17"/>
      <c r="BY2255" s="17"/>
      <c r="BZ2255" s="17"/>
      <c r="CA2255" s="17"/>
      <c r="CB2255" s="17"/>
      <c r="CC2255" s="17"/>
      <c r="CD2255" s="17"/>
      <c r="CE2255" s="17"/>
      <c r="CF2255" s="17"/>
      <c r="CG2255" s="17"/>
      <c r="CH2255" s="17"/>
      <c r="CI2255" s="17"/>
      <c r="CJ2255" s="17"/>
      <c r="CK2255" s="17"/>
      <c r="CL2255" s="17"/>
      <c r="CM2255" s="17"/>
      <c r="CN2255" s="17"/>
      <c r="CO2255" s="17"/>
      <c r="CP2255" s="17"/>
      <c r="CQ2255" s="17"/>
      <c r="CR2255" s="17"/>
      <c r="CS2255" s="17"/>
      <c r="CT2255" s="17"/>
      <c r="CU2255" s="17"/>
      <c r="CV2255" s="17"/>
      <c r="CW2255" s="17"/>
      <c r="CX2255" s="17"/>
      <c r="CY2255" s="17"/>
      <c r="CZ2255" s="17"/>
      <c r="DA2255" s="17"/>
      <c r="DB2255" s="17"/>
      <c r="DC2255" s="17"/>
      <c r="DD2255" s="17"/>
      <c r="DE2255" s="17"/>
      <c r="DF2255" s="17"/>
      <c r="DG2255" s="17"/>
      <c r="DH2255" s="17"/>
      <c r="DI2255" s="17"/>
      <c r="DJ2255" s="17"/>
      <c r="DK2255" s="17"/>
      <c r="DL2255" s="17"/>
      <c r="DM2255" s="17"/>
      <c r="DN2255" s="17"/>
      <c r="DO2255" s="17"/>
      <c r="DP2255" s="17"/>
      <c r="DQ2255" s="17"/>
      <c r="DR2255" s="17"/>
      <c r="DS2255" s="17"/>
      <c r="DT2255" s="17"/>
      <c r="DU2255" s="17"/>
      <c r="DV2255" s="17"/>
      <c r="DW2255" s="17"/>
    </row>
    <row r="2256" spans="6:127"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  <c r="AX2256" s="17"/>
      <c r="AY2256" s="17"/>
      <c r="AZ2256" s="17"/>
      <c r="BA2256" s="17"/>
      <c r="BB2256" s="17"/>
      <c r="BC2256" s="17"/>
      <c r="BD2256" s="17"/>
      <c r="BE2256" s="17"/>
      <c r="BF2256" s="17"/>
      <c r="BG2256" s="17"/>
      <c r="BH2256" s="17"/>
      <c r="BI2256" s="17"/>
      <c r="BJ2256" s="17"/>
      <c r="BK2256" s="17"/>
      <c r="BL2256" s="17"/>
      <c r="BM2256" s="17"/>
      <c r="BN2256" s="17"/>
      <c r="BO2256" s="17"/>
      <c r="BP2256" s="17"/>
      <c r="BQ2256" s="17"/>
      <c r="BR2256" s="17"/>
      <c r="BS2256" s="17"/>
      <c r="BT2256" s="17"/>
      <c r="BU2256" s="17"/>
      <c r="BV2256" s="17"/>
      <c r="BW2256" s="17"/>
      <c r="BX2256" s="17"/>
      <c r="BY2256" s="17"/>
      <c r="BZ2256" s="17"/>
      <c r="CA2256" s="17"/>
      <c r="CB2256" s="17"/>
      <c r="CC2256" s="17"/>
      <c r="CD2256" s="17"/>
      <c r="CE2256" s="17"/>
      <c r="CF2256" s="17"/>
      <c r="CG2256" s="17"/>
      <c r="CH2256" s="17"/>
      <c r="CI2256" s="17"/>
      <c r="CJ2256" s="17"/>
      <c r="CK2256" s="17"/>
      <c r="CL2256" s="17"/>
      <c r="CM2256" s="17"/>
      <c r="CN2256" s="17"/>
      <c r="CO2256" s="17"/>
      <c r="CP2256" s="17"/>
      <c r="CQ2256" s="17"/>
      <c r="CR2256" s="17"/>
      <c r="CS2256" s="17"/>
      <c r="CT2256" s="17"/>
      <c r="CU2256" s="17"/>
      <c r="CV2256" s="17"/>
      <c r="CW2256" s="17"/>
      <c r="CX2256" s="17"/>
      <c r="CY2256" s="17"/>
      <c r="CZ2256" s="17"/>
      <c r="DA2256" s="17"/>
      <c r="DB2256" s="17"/>
      <c r="DC2256" s="17"/>
      <c r="DD2256" s="17"/>
      <c r="DE2256" s="17"/>
      <c r="DF2256" s="17"/>
      <c r="DG2256" s="17"/>
      <c r="DH2256" s="17"/>
      <c r="DI2256" s="17"/>
      <c r="DJ2256" s="17"/>
      <c r="DK2256" s="17"/>
      <c r="DL2256" s="17"/>
      <c r="DM2256" s="17"/>
      <c r="DN2256" s="17"/>
      <c r="DO2256" s="17"/>
      <c r="DP2256" s="17"/>
      <c r="DQ2256" s="17"/>
      <c r="DR2256" s="17"/>
      <c r="DS2256" s="17"/>
      <c r="DT2256" s="17"/>
      <c r="DU2256" s="17"/>
      <c r="DV2256" s="17"/>
      <c r="DW2256" s="17"/>
    </row>
    <row r="2257" spans="6:134"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  <c r="AX2257" s="17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I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</row>
    <row r="2258" spans="6:134"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  <c r="AX2258" s="17"/>
      <c r="AY2258" s="17"/>
      <c r="AZ2258" s="17"/>
      <c r="BA2258" s="17"/>
      <c r="BB2258" s="17"/>
      <c r="BC2258" s="17"/>
      <c r="BD2258" s="17"/>
      <c r="BE2258" s="17"/>
      <c r="BF2258" s="17"/>
      <c r="BG2258" s="17"/>
      <c r="BH2258" s="17"/>
      <c r="BI2258" s="17"/>
      <c r="BJ2258" s="17"/>
      <c r="BK2258" s="17"/>
      <c r="BL2258" s="17"/>
      <c r="BM2258" s="17"/>
      <c r="BN2258" s="17"/>
      <c r="BO2258" s="17"/>
      <c r="BP2258" s="17"/>
      <c r="BQ2258" s="17"/>
      <c r="BR2258" s="17"/>
      <c r="BS2258" s="17"/>
      <c r="BT2258" s="17"/>
      <c r="BU2258" s="17"/>
      <c r="BV2258" s="17"/>
      <c r="BW2258" s="17"/>
      <c r="BX2258" s="17"/>
      <c r="BY2258" s="17"/>
      <c r="BZ2258" s="17"/>
      <c r="CA2258" s="17"/>
      <c r="CB2258" s="17"/>
      <c r="CC2258" s="17"/>
      <c r="CD2258" s="17"/>
      <c r="CE2258" s="17"/>
      <c r="CF2258" s="17"/>
      <c r="CG2258" s="17"/>
      <c r="CH2258" s="17"/>
      <c r="CI2258" s="17"/>
      <c r="CJ2258" s="17"/>
      <c r="CK2258" s="17"/>
      <c r="CL2258" s="17"/>
      <c r="CM2258" s="17"/>
      <c r="CN2258" s="17"/>
      <c r="CO2258" s="17"/>
      <c r="CP2258" s="17"/>
      <c r="CQ2258" s="17"/>
      <c r="CR2258" s="17"/>
      <c r="CS2258" s="17"/>
      <c r="CT2258" s="17"/>
      <c r="CU2258" s="17"/>
      <c r="CV2258" s="17"/>
      <c r="CW2258" s="17"/>
      <c r="CX2258" s="17"/>
      <c r="CY2258" s="17"/>
      <c r="CZ2258" s="17"/>
      <c r="DA2258" s="17"/>
      <c r="DB2258" s="17"/>
      <c r="DC2258" s="17"/>
      <c r="DD2258" s="17"/>
      <c r="DE2258" s="17"/>
      <c r="DF2258" s="17"/>
      <c r="DG2258" s="17"/>
      <c r="DH2258" s="17"/>
      <c r="DI2258" s="17"/>
      <c r="DJ2258" s="17"/>
      <c r="DK2258" s="17"/>
      <c r="DL2258" s="17"/>
      <c r="DM2258" s="17"/>
      <c r="DN2258" s="17"/>
      <c r="DO2258" s="17"/>
      <c r="DP2258" s="17"/>
      <c r="DQ2258" s="17"/>
      <c r="DR2258" s="17"/>
      <c r="DS2258" s="17"/>
      <c r="DT2258" s="17"/>
      <c r="DU2258" s="17"/>
      <c r="DV2258" s="17"/>
      <c r="DW2258" s="17"/>
      <c r="DX2258" s="17"/>
      <c r="DY2258" s="17"/>
      <c r="DZ2258" s="17"/>
      <c r="EA2258" s="17"/>
      <c r="EB2258" s="17"/>
      <c r="EC2258" s="17"/>
      <c r="ED2258" s="17"/>
    </row>
    <row r="2259" spans="6:134"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  <c r="BB2259" s="17"/>
      <c r="BC2259" s="17"/>
      <c r="BD2259" s="17"/>
      <c r="BE2259" s="17"/>
      <c r="BF2259" s="17"/>
      <c r="BG2259" s="17"/>
      <c r="BH2259" s="17"/>
      <c r="BI2259" s="17"/>
      <c r="BJ2259" s="17"/>
      <c r="BK2259" s="17"/>
      <c r="BL2259" s="17"/>
      <c r="BM2259" s="17"/>
      <c r="BN2259" s="17"/>
      <c r="BO2259" s="17"/>
      <c r="BP2259" s="17"/>
      <c r="BQ2259" s="17"/>
      <c r="BR2259" s="17"/>
      <c r="BS2259" s="17"/>
      <c r="BT2259" s="17"/>
      <c r="BU2259" s="17"/>
      <c r="BV2259" s="17"/>
      <c r="BW2259" s="17"/>
      <c r="BX2259" s="17"/>
      <c r="BY2259" s="17"/>
      <c r="BZ2259" s="17"/>
      <c r="CA2259" s="17"/>
      <c r="CB2259" s="17"/>
      <c r="CC2259" s="17"/>
      <c r="CD2259" s="17"/>
      <c r="CE2259" s="17"/>
      <c r="CF2259" s="17"/>
      <c r="CG2259" s="17"/>
      <c r="CH2259" s="17"/>
      <c r="CI2259" s="17"/>
      <c r="CJ2259" s="17"/>
      <c r="CK2259" s="17"/>
      <c r="CL2259" s="17"/>
      <c r="CM2259" s="17"/>
      <c r="CN2259" s="17"/>
      <c r="CO2259" s="17"/>
      <c r="CP2259" s="17"/>
      <c r="CQ2259" s="17"/>
      <c r="CR2259" s="17"/>
      <c r="CS2259" s="17"/>
      <c r="CT2259" s="17"/>
      <c r="CU2259" s="17"/>
      <c r="CV2259" s="17"/>
      <c r="CW2259" s="17"/>
      <c r="CX2259" s="17"/>
      <c r="CY2259" s="17"/>
      <c r="CZ2259" s="17"/>
      <c r="DA2259" s="17"/>
      <c r="DB2259" s="17"/>
      <c r="DC2259" s="17"/>
      <c r="DD2259" s="17"/>
      <c r="DE2259" s="17"/>
      <c r="DF2259" s="17"/>
      <c r="DG2259" s="17"/>
      <c r="DH2259" s="17"/>
      <c r="DI2259" s="17"/>
      <c r="DJ2259" s="17"/>
      <c r="DK2259" s="17"/>
      <c r="DL2259" s="17"/>
      <c r="DM2259" s="17"/>
      <c r="DN2259" s="17"/>
      <c r="DO2259" s="17"/>
      <c r="DP2259" s="17"/>
      <c r="DQ2259" s="17"/>
      <c r="DR2259" s="17"/>
      <c r="DS2259" s="17"/>
      <c r="DT2259" s="17"/>
      <c r="DU2259" s="17"/>
      <c r="DV2259" s="17"/>
      <c r="DW2259" s="17"/>
      <c r="DX2259" s="17"/>
      <c r="DY2259" s="17"/>
      <c r="DZ2259" s="17"/>
      <c r="EA2259" s="17"/>
      <c r="EB2259" s="17"/>
      <c r="EC2259" s="17"/>
      <c r="ED2259" s="17"/>
    </row>
    <row r="2260" spans="6:134"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  <c r="AX2260" s="17"/>
      <c r="AY2260" s="17"/>
      <c r="AZ2260" s="17"/>
      <c r="BA2260" s="17"/>
      <c r="BB2260" s="17"/>
      <c r="BC2260" s="17"/>
      <c r="BD2260" s="17"/>
      <c r="BE2260" s="17"/>
      <c r="BF2260" s="17"/>
      <c r="BG2260" s="17"/>
      <c r="BH2260" s="17"/>
      <c r="BI2260" s="17"/>
      <c r="BJ2260" s="17"/>
      <c r="BK2260" s="17"/>
      <c r="BL2260" s="17"/>
      <c r="BM2260" s="17"/>
      <c r="BN2260" s="17"/>
      <c r="BO2260" s="17"/>
      <c r="BP2260" s="17"/>
      <c r="BQ2260" s="17"/>
      <c r="BR2260" s="17"/>
      <c r="BS2260" s="17"/>
      <c r="BT2260" s="17"/>
      <c r="BU2260" s="17"/>
      <c r="BV2260" s="17"/>
      <c r="BW2260" s="17"/>
      <c r="BX2260" s="17"/>
      <c r="BY2260" s="17"/>
      <c r="BZ2260" s="17"/>
      <c r="CA2260" s="17"/>
      <c r="CB2260" s="17"/>
      <c r="CC2260" s="17"/>
      <c r="CD2260" s="17"/>
      <c r="CE2260" s="17"/>
      <c r="CF2260" s="17"/>
      <c r="CG2260" s="17"/>
      <c r="CH2260" s="17"/>
      <c r="CI2260" s="17"/>
      <c r="CJ2260" s="17"/>
      <c r="CK2260" s="17"/>
      <c r="CL2260" s="17"/>
      <c r="CM2260" s="17"/>
      <c r="CN2260" s="17"/>
      <c r="CO2260" s="17"/>
      <c r="CP2260" s="17"/>
      <c r="CQ2260" s="17"/>
      <c r="CR2260" s="17"/>
      <c r="CS2260" s="17"/>
      <c r="CT2260" s="17"/>
      <c r="CU2260" s="17"/>
      <c r="CV2260" s="17"/>
      <c r="CW2260" s="17"/>
      <c r="CX2260" s="17"/>
      <c r="CY2260" s="17"/>
      <c r="CZ2260" s="17"/>
      <c r="DA2260" s="17"/>
      <c r="DB2260" s="17"/>
      <c r="DC2260" s="17"/>
      <c r="DD2260" s="17"/>
      <c r="DE2260" s="17"/>
      <c r="DF2260" s="17"/>
      <c r="DG2260" s="17"/>
      <c r="DH2260" s="17"/>
      <c r="DI2260" s="17"/>
      <c r="DJ2260" s="17"/>
      <c r="DK2260" s="17"/>
      <c r="DL2260" s="17"/>
      <c r="DM2260" s="17"/>
      <c r="DN2260" s="17"/>
      <c r="DO2260" s="17"/>
      <c r="DP2260" s="17"/>
      <c r="DQ2260" s="17"/>
      <c r="DR2260" s="17"/>
      <c r="DS2260" s="17"/>
      <c r="DT2260" s="17"/>
      <c r="DU2260" s="17"/>
      <c r="DV2260" s="17"/>
      <c r="DW2260" s="17"/>
      <c r="DX2260" s="17"/>
      <c r="DY2260" s="17"/>
      <c r="DZ2260" s="17"/>
      <c r="EA2260" s="17"/>
      <c r="EB2260" s="17"/>
      <c r="EC2260" s="17"/>
      <c r="ED2260" s="17"/>
    </row>
    <row r="2261" spans="6:134"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  <c r="AX2261" s="17"/>
      <c r="AY2261" s="17"/>
      <c r="AZ2261" s="17"/>
      <c r="BA2261" s="17"/>
      <c r="BB2261" s="17"/>
      <c r="BC2261" s="17"/>
      <c r="BD2261" s="17"/>
      <c r="BE2261" s="17"/>
      <c r="BF2261" s="17"/>
      <c r="BG2261" s="17"/>
      <c r="BH2261" s="17"/>
      <c r="BI2261" s="17"/>
      <c r="BJ2261" s="17"/>
      <c r="BK2261" s="17"/>
      <c r="BL2261" s="17"/>
      <c r="BM2261" s="17"/>
      <c r="BN2261" s="17"/>
      <c r="BO2261" s="17"/>
      <c r="BP2261" s="17"/>
      <c r="BQ2261" s="17"/>
      <c r="BR2261" s="17"/>
      <c r="BS2261" s="17"/>
      <c r="BT2261" s="17"/>
      <c r="BU2261" s="17"/>
      <c r="BV2261" s="17"/>
      <c r="BW2261" s="17"/>
      <c r="BX2261" s="17"/>
      <c r="BY2261" s="17"/>
      <c r="BZ2261" s="17"/>
      <c r="CA2261" s="17"/>
      <c r="CB2261" s="17"/>
      <c r="CC2261" s="17"/>
      <c r="CD2261" s="17"/>
      <c r="CE2261" s="17"/>
      <c r="CF2261" s="17"/>
      <c r="CG2261" s="17"/>
      <c r="CH2261" s="17"/>
      <c r="CI2261" s="17"/>
      <c r="CJ2261" s="17"/>
      <c r="CK2261" s="17"/>
      <c r="CL2261" s="17"/>
      <c r="CM2261" s="17"/>
      <c r="CN2261" s="17"/>
      <c r="CO2261" s="17"/>
      <c r="CP2261" s="17"/>
      <c r="CQ2261" s="17"/>
      <c r="CR2261" s="17"/>
      <c r="CS2261" s="17"/>
      <c r="CT2261" s="17"/>
      <c r="CU2261" s="17"/>
      <c r="CV2261" s="17"/>
      <c r="CW2261" s="17"/>
      <c r="CX2261" s="17"/>
      <c r="CY2261" s="17"/>
      <c r="CZ2261" s="17"/>
      <c r="DA2261" s="17"/>
      <c r="DB2261" s="17"/>
      <c r="DC2261" s="17"/>
      <c r="DD2261" s="17"/>
      <c r="DE2261" s="17"/>
      <c r="DF2261" s="17"/>
      <c r="DG2261" s="17"/>
      <c r="DH2261" s="17"/>
      <c r="DI2261" s="17"/>
      <c r="DJ2261" s="17"/>
      <c r="DK2261" s="17"/>
      <c r="DL2261" s="17"/>
      <c r="DM2261" s="17"/>
      <c r="DN2261" s="17"/>
      <c r="DO2261" s="17"/>
      <c r="DP2261" s="17"/>
      <c r="DQ2261" s="17"/>
      <c r="DR2261" s="17"/>
      <c r="DS2261" s="17"/>
      <c r="DT2261" s="17"/>
      <c r="DU2261" s="17"/>
      <c r="DV2261" s="17"/>
      <c r="DW2261" s="17"/>
      <c r="DX2261" s="17"/>
      <c r="DY2261" s="17"/>
      <c r="DZ2261" s="17"/>
      <c r="EA2261" s="17"/>
      <c r="EB2261" s="17"/>
      <c r="EC2261" s="17"/>
      <c r="ED2261" s="17"/>
    </row>
    <row r="2262" spans="6:134"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  <c r="AX2262" s="17"/>
      <c r="AY2262" s="17"/>
      <c r="AZ2262" s="17"/>
      <c r="BA2262" s="17"/>
      <c r="BB2262" s="17"/>
      <c r="BC2262" s="17"/>
      <c r="BD2262" s="17"/>
      <c r="BE2262" s="17"/>
      <c r="BF2262" s="17"/>
      <c r="BG2262" s="17"/>
      <c r="BH2262" s="17"/>
      <c r="BI2262" s="17"/>
      <c r="BJ2262" s="17"/>
      <c r="BK2262" s="17"/>
      <c r="BL2262" s="17"/>
      <c r="BM2262" s="17"/>
      <c r="BN2262" s="17"/>
      <c r="BO2262" s="17"/>
      <c r="BP2262" s="17"/>
      <c r="BQ2262" s="17"/>
      <c r="BR2262" s="17"/>
      <c r="BS2262" s="17"/>
      <c r="BT2262" s="17"/>
      <c r="BU2262" s="17"/>
      <c r="BV2262" s="17"/>
      <c r="BW2262" s="17"/>
      <c r="BX2262" s="17"/>
      <c r="BY2262" s="17"/>
      <c r="BZ2262" s="17"/>
      <c r="CA2262" s="17"/>
      <c r="CB2262" s="17"/>
      <c r="CC2262" s="17"/>
      <c r="CD2262" s="17"/>
      <c r="CE2262" s="17"/>
      <c r="CF2262" s="17"/>
      <c r="CG2262" s="17"/>
      <c r="CH2262" s="17"/>
      <c r="CI2262" s="17"/>
      <c r="CJ2262" s="17"/>
      <c r="CK2262" s="17"/>
      <c r="CL2262" s="17"/>
      <c r="CM2262" s="17"/>
      <c r="CN2262" s="17"/>
      <c r="CO2262" s="17"/>
      <c r="CP2262" s="17"/>
      <c r="CQ2262" s="17"/>
      <c r="CR2262" s="17"/>
      <c r="CS2262" s="17"/>
      <c r="CT2262" s="17"/>
      <c r="CU2262" s="17"/>
      <c r="CV2262" s="17"/>
      <c r="CW2262" s="17"/>
      <c r="CX2262" s="17"/>
      <c r="CY2262" s="17"/>
      <c r="CZ2262" s="17"/>
      <c r="DA2262" s="17"/>
      <c r="DB2262" s="17"/>
      <c r="DC2262" s="17"/>
      <c r="DD2262" s="17"/>
      <c r="DE2262" s="17"/>
      <c r="DF2262" s="17"/>
      <c r="DG2262" s="17"/>
      <c r="DH2262" s="17"/>
      <c r="DI2262" s="17"/>
      <c r="DJ2262" s="17"/>
      <c r="DK2262" s="17"/>
      <c r="DL2262" s="17"/>
      <c r="DM2262" s="17"/>
      <c r="DN2262" s="17"/>
      <c r="DO2262" s="17"/>
      <c r="DP2262" s="17"/>
      <c r="DQ2262" s="17"/>
      <c r="DR2262" s="17"/>
      <c r="DS2262" s="17"/>
      <c r="DT2262" s="17"/>
      <c r="DU2262" s="17"/>
      <c r="DV2262" s="17"/>
      <c r="DW2262" s="17"/>
      <c r="DX2262" s="17"/>
      <c r="DY2262" s="17"/>
      <c r="DZ2262" s="17"/>
      <c r="EA2262" s="17"/>
      <c r="EB2262" s="17"/>
      <c r="EC2262" s="17"/>
      <c r="ED2262" s="17"/>
    </row>
    <row r="2263" spans="6:134"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  <c r="AX2263" s="17"/>
      <c r="AY2263" s="17"/>
      <c r="AZ2263" s="17"/>
      <c r="BA2263" s="17"/>
      <c r="BB2263" s="17"/>
      <c r="BC2263" s="17"/>
      <c r="BD2263" s="17"/>
      <c r="BE2263" s="17"/>
      <c r="BF2263" s="17"/>
      <c r="BG2263" s="17"/>
      <c r="BH2263" s="17"/>
      <c r="BI2263" s="17"/>
      <c r="BJ2263" s="17"/>
      <c r="BK2263" s="17"/>
      <c r="BL2263" s="17"/>
      <c r="BM2263" s="17"/>
      <c r="BN2263" s="17"/>
      <c r="BO2263" s="17"/>
      <c r="BP2263" s="17"/>
      <c r="BQ2263" s="17"/>
      <c r="BR2263" s="17"/>
      <c r="BS2263" s="17"/>
      <c r="BT2263" s="17"/>
      <c r="BU2263" s="17"/>
      <c r="BV2263" s="17"/>
      <c r="BW2263" s="17"/>
      <c r="BX2263" s="17"/>
      <c r="BY2263" s="17"/>
      <c r="BZ2263" s="17"/>
      <c r="CA2263" s="17"/>
      <c r="CB2263" s="17"/>
      <c r="CC2263" s="17"/>
      <c r="CD2263" s="17"/>
      <c r="CE2263" s="17"/>
      <c r="CF2263" s="17"/>
      <c r="CG2263" s="17"/>
      <c r="CH2263" s="17"/>
      <c r="CI2263" s="17"/>
      <c r="CJ2263" s="17"/>
      <c r="CK2263" s="17"/>
      <c r="CL2263" s="17"/>
      <c r="CM2263" s="17"/>
      <c r="CN2263" s="17"/>
      <c r="CO2263" s="17"/>
      <c r="CP2263" s="17"/>
      <c r="CQ2263" s="17"/>
      <c r="CR2263" s="17"/>
      <c r="CS2263" s="17"/>
      <c r="CT2263" s="17"/>
      <c r="CU2263" s="17"/>
      <c r="CV2263" s="17"/>
      <c r="CW2263" s="17"/>
      <c r="CX2263" s="17"/>
      <c r="CY2263" s="17"/>
      <c r="CZ2263" s="17"/>
      <c r="DA2263" s="17"/>
      <c r="DB2263" s="17"/>
      <c r="DC2263" s="17"/>
      <c r="DD2263" s="17"/>
      <c r="DE2263" s="17"/>
      <c r="DF2263" s="17"/>
      <c r="DG2263" s="17"/>
      <c r="DH2263" s="17"/>
      <c r="DI2263" s="17"/>
      <c r="DJ2263" s="17"/>
      <c r="DK2263" s="17"/>
      <c r="DL2263" s="17"/>
      <c r="DM2263" s="17"/>
      <c r="DN2263" s="17"/>
      <c r="DO2263" s="17"/>
      <c r="DP2263" s="17"/>
      <c r="DQ2263" s="17"/>
      <c r="DR2263" s="17"/>
      <c r="DS2263" s="17"/>
      <c r="DT2263" s="17"/>
      <c r="DU2263" s="17"/>
      <c r="DV2263" s="17"/>
      <c r="DW2263" s="17"/>
      <c r="DX2263" s="17"/>
      <c r="DY2263" s="17"/>
      <c r="DZ2263" s="17"/>
      <c r="EA2263" s="17"/>
      <c r="EB2263" s="17"/>
      <c r="EC2263" s="17"/>
      <c r="ED2263" s="17"/>
    </row>
    <row r="2264" spans="6:134"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  <c r="AX2264" s="17"/>
      <c r="AY2264" s="17"/>
      <c r="AZ2264" s="17"/>
      <c r="BA2264" s="17"/>
      <c r="BB2264" s="17"/>
      <c r="BC2264" s="17"/>
      <c r="BD2264" s="17"/>
      <c r="BE2264" s="17"/>
      <c r="BF2264" s="17"/>
      <c r="BG2264" s="17"/>
      <c r="BH2264" s="17"/>
      <c r="BI2264" s="17"/>
      <c r="BJ2264" s="17"/>
      <c r="BK2264" s="17"/>
      <c r="BL2264" s="17"/>
      <c r="BM2264" s="17"/>
      <c r="BN2264" s="17"/>
      <c r="BO2264" s="17"/>
      <c r="BP2264" s="17"/>
      <c r="BQ2264" s="17"/>
      <c r="BR2264" s="17"/>
      <c r="BS2264" s="17"/>
      <c r="BT2264" s="17"/>
      <c r="BU2264" s="17"/>
      <c r="BV2264" s="17"/>
      <c r="BW2264" s="17"/>
      <c r="BX2264" s="17"/>
      <c r="BY2264" s="17"/>
      <c r="BZ2264" s="17"/>
      <c r="CA2264" s="17"/>
      <c r="CB2264" s="17"/>
      <c r="CC2264" s="17"/>
      <c r="CD2264" s="17"/>
      <c r="CE2264" s="17"/>
      <c r="CF2264" s="17"/>
      <c r="CG2264" s="17"/>
      <c r="CH2264" s="17"/>
      <c r="CI2264" s="17"/>
      <c r="CJ2264" s="17"/>
      <c r="CK2264" s="17"/>
      <c r="CL2264" s="17"/>
      <c r="CM2264" s="17"/>
      <c r="CN2264" s="17"/>
      <c r="CO2264" s="17"/>
      <c r="CP2264" s="17"/>
      <c r="CQ2264" s="17"/>
      <c r="CR2264" s="17"/>
      <c r="CS2264" s="17"/>
      <c r="CT2264" s="17"/>
      <c r="CU2264" s="17"/>
      <c r="CV2264" s="17"/>
      <c r="CW2264" s="17"/>
      <c r="CX2264" s="17"/>
      <c r="CY2264" s="17"/>
      <c r="CZ2264" s="17"/>
      <c r="DA2264" s="17"/>
      <c r="DB2264" s="17"/>
      <c r="DC2264" s="17"/>
      <c r="DD2264" s="17"/>
      <c r="DE2264" s="17"/>
      <c r="DF2264" s="17"/>
      <c r="DG2264" s="17"/>
      <c r="DH2264" s="17"/>
      <c r="DI2264" s="17"/>
      <c r="DJ2264" s="17"/>
      <c r="DK2264" s="17"/>
      <c r="DL2264" s="17"/>
      <c r="DM2264" s="17"/>
      <c r="DN2264" s="17"/>
      <c r="DO2264" s="17"/>
      <c r="DP2264" s="17"/>
      <c r="DQ2264" s="17"/>
      <c r="DR2264" s="17"/>
      <c r="DS2264" s="17"/>
      <c r="DT2264" s="17"/>
      <c r="DU2264" s="17"/>
      <c r="DV2264" s="17"/>
      <c r="DW2264" s="17"/>
      <c r="DX2264" s="17"/>
      <c r="DY2264" s="17"/>
      <c r="DZ2264" s="17"/>
      <c r="EA2264" s="17"/>
      <c r="EB2264" s="17"/>
      <c r="EC2264" s="17"/>
      <c r="ED2264" s="17"/>
    </row>
    <row r="2265" spans="6:134"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  <c r="AX2265" s="17"/>
      <c r="AY2265" s="17"/>
      <c r="AZ2265" s="17"/>
      <c r="BA2265" s="17"/>
      <c r="BB2265" s="17"/>
      <c r="BC2265" s="17"/>
      <c r="BD2265" s="17"/>
      <c r="BE2265" s="17"/>
      <c r="BF2265" s="17"/>
      <c r="BG2265" s="17"/>
      <c r="BH2265" s="17"/>
      <c r="BI2265" s="17"/>
      <c r="BJ2265" s="17"/>
      <c r="BK2265" s="17"/>
      <c r="BL2265" s="17"/>
      <c r="BM2265" s="17"/>
      <c r="BN2265" s="17"/>
      <c r="BO2265" s="17"/>
      <c r="BP2265" s="17"/>
      <c r="BQ2265" s="17"/>
      <c r="BR2265" s="17"/>
      <c r="BS2265" s="17"/>
      <c r="BT2265" s="17"/>
      <c r="BU2265" s="17"/>
      <c r="BV2265" s="17"/>
      <c r="BW2265" s="17"/>
      <c r="BX2265" s="17"/>
      <c r="BY2265" s="17"/>
      <c r="BZ2265" s="17"/>
      <c r="CA2265" s="17"/>
      <c r="CB2265" s="17"/>
      <c r="CC2265" s="17"/>
      <c r="CD2265" s="17"/>
      <c r="CE2265" s="17"/>
      <c r="CF2265" s="17"/>
      <c r="CG2265" s="17"/>
      <c r="CH2265" s="17"/>
      <c r="CI2265" s="17"/>
      <c r="CJ2265" s="17"/>
      <c r="CK2265" s="17"/>
      <c r="CL2265" s="17"/>
      <c r="CM2265" s="17"/>
      <c r="CN2265" s="17"/>
      <c r="CO2265" s="17"/>
      <c r="CP2265" s="17"/>
      <c r="CQ2265" s="17"/>
      <c r="CR2265" s="17"/>
      <c r="CS2265" s="17"/>
      <c r="CT2265" s="17"/>
      <c r="CU2265" s="17"/>
      <c r="CV2265" s="17"/>
      <c r="CW2265" s="17"/>
      <c r="CX2265" s="17"/>
      <c r="CY2265" s="17"/>
      <c r="CZ2265" s="17"/>
      <c r="DA2265" s="17"/>
      <c r="DB2265" s="17"/>
      <c r="DC2265" s="17"/>
      <c r="DD2265" s="17"/>
      <c r="DE2265" s="17"/>
      <c r="DF2265" s="17"/>
      <c r="DG2265" s="17"/>
      <c r="DH2265" s="17"/>
      <c r="DI2265" s="17"/>
      <c r="DJ2265" s="17"/>
      <c r="DK2265" s="17"/>
      <c r="DL2265" s="17"/>
      <c r="DM2265" s="17"/>
      <c r="DN2265" s="17"/>
      <c r="DO2265" s="17"/>
      <c r="DP2265" s="17"/>
      <c r="DQ2265" s="17"/>
      <c r="DR2265" s="17"/>
      <c r="DS2265" s="17"/>
      <c r="DT2265" s="17"/>
      <c r="DU2265" s="17"/>
      <c r="DV2265" s="17"/>
      <c r="DW2265" s="17"/>
      <c r="DX2265" s="17"/>
      <c r="DY2265" s="17"/>
      <c r="DZ2265" s="17"/>
      <c r="EA2265" s="17"/>
      <c r="EB2265" s="17"/>
      <c r="EC2265" s="17"/>
      <c r="ED2265" s="17"/>
    </row>
    <row r="2266" spans="6:134"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  <c r="AX2266" s="17"/>
      <c r="AY2266" s="17"/>
      <c r="AZ2266" s="17"/>
      <c r="BA2266" s="17"/>
      <c r="BB2266" s="17"/>
      <c r="BC2266" s="17"/>
      <c r="BD2266" s="17"/>
      <c r="BE2266" s="17"/>
      <c r="BF2266" s="17"/>
      <c r="BG2266" s="17"/>
      <c r="BH2266" s="17"/>
      <c r="BI2266" s="17"/>
      <c r="BJ2266" s="17"/>
      <c r="BK2266" s="17"/>
      <c r="BL2266" s="17"/>
      <c r="BM2266" s="17"/>
      <c r="BN2266" s="17"/>
      <c r="BO2266" s="17"/>
      <c r="BP2266" s="17"/>
      <c r="BQ2266" s="17"/>
      <c r="BR2266" s="17"/>
      <c r="BS2266" s="17"/>
      <c r="BT2266" s="17"/>
      <c r="BU2266" s="17"/>
      <c r="BV2266" s="17"/>
      <c r="BW2266" s="17"/>
      <c r="BX2266" s="17"/>
      <c r="BY2266" s="17"/>
      <c r="BZ2266" s="17"/>
      <c r="CA2266" s="17"/>
      <c r="CB2266" s="17"/>
      <c r="CC2266" s="17"/>
      <c r="CD2266" s="17"/>
      <c r="CE2266" s="17"/>
      <c r="CF2266" s="17"/>
      <c r="CG2266" s="17"/>
      <c r="CH2266" s="17"/>
      <c r="CI2266" s="17"/>
      <c r="CJ2266" s="17"/>
      <c r="CK2266" s="17"/>
      <c r="CL2266" s="17"/>
      <c r="CM2266" s="17"/>
      <c r="CN2266" s="17"/>
      <c r="CO2266" s="17"/>
      <c r="CP2266" s="17"/>
      <c r="CQ2266" s="17"/>
      <c r="CR2266" s="17"/>
      <c r="CS2266" s="17"/>
      <c r="CT2266" s="17"/>
      <c r="CU2266" s="17"/>
      <c r="CV2266" s="17"/>
      <c r="CW2266" s="17"/>
      <c r="CX2266" s="17"/>
      <c r="CY2266" s="17"/>
      <c r="CZ2266" s="17"/>
      <c r="DA2266" s="17"/>
      <c r="DB2266" s="17"/>
      <c r="DC2266" s="17"/>
      <c r="DD2266" s="17"/>
      <c r="DE2266" s="17"/>
      <c r="DF2266" s="17"/>
      <c r="DG2266" s="17"/>
      <c r="DH2266" s="17"/>
      <c r="DI2266" s="17"/>
      <c r="DJ2266" s="17"/>
      <c r="DK2266" s="17"/>
      <c r="DL2266" s="17"/>
      <c r="DM2266" s="17"/>
      <c r="DN2266" s="17"/>
      <c r="DO2266" s="17"/>
      <c r="DP2266" s="17"/>
      <c r="DQ2266" s="17"/>
      <c r="DR2266" s="17"/>
      <c r="DS2266" s="17"/>
      <c r="DT2266" s="17"/>
      <c r="DU2266" s="17"/>
      <c r="DV2266" s="17"/>
      <c r="DW2266" s="17"/>
      <c r="DX2266" s="17"/>
      <c r="DY2266" s="17"/>
      <c r="DZ2266" s="17"/>
      <c r="EA2266" s="17"/>
      <c r="EB2266" s="17"/>
      <c r="EC2266" s="17"/>
      <c r="ED2266" s="17"/>
    </row>
    <row r="2267" spans="6:134"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  <c r="BB2267" s="17"/>
      <c r="BC2267" s="17"/>
      <c r="BD2267" s="17"/>
      <c r="BE2267" s="17"/>
      <c r="BF2267" s="17"/>
      <c r="BG2267" s="17"/>
      <c r="BH2267" s="17"/>
      <c r="BI2267" s="17"/>
      <c r="BJ2267" s="17"/>
      <c r="BK2267" s="17"/>
      <c r="BL2267" s="17"/>
      <c r="BM2267" s="17"/>
      <c r="BN2267" s="17"/>
      <c r="BO2267" s="17"/>
      <c r="BP2267" s="17"/>
      <c r="BQ2267" s="17"/>
      <c r="BR2267" s="17"/>
      <c r="BS2267" s="17"/>
      <c r="BT2267" s="17"/>
      <c r="BU2267" s="17"/>
      <c r="BV2267" s="17"/>
      <c r="BW2267" s="17"/>
      <c r="BX2267" s="17"/>
      <c r="BY2267" s="17"/>
      <c r="BZ2267" s="17"/>
      <c r="CA2267" s="17"/>
      <c r="CB2267" s="17"/>
      <c r="CC2267" s="17"/>
      <c r="CD2267" s="17"/>
      <c r="CE2267" s="17"/>
      <c r="CF2267" s="17"/>
      <c r="CG2267" s="17"/>
      <c r="CH2267" s="17"/>
      <c r="CI2267" s="17"/>
      <c r="CJ2267" s="17"/>
      <c r="CK2267" s="17"/>
      <c r="CL2267" s="17"/>
      <c r="CM2267" s="17"/>
      <c r="CN2267" s="17"/>
      <c r="CO2267" s="17"/>
      <c r="CP2267" s="17"/>
      <c r="CQ2267" s="17"/>
      <c r="CR2267" s="17"/>
      <c r="CS2267" s="17"/>
      <c r="CT2267" s="17"/>
      <c r="CU2267" s="17"/>
      <c r="CV2267" s="17"/>
      <c r="CW2267" s="17"/>
      <c r="CX2267" s="17"/>
      <c r="CY2267" s="17"/>
      <c r="CZ2267" s="17"/>
      <c r="DA2267" s="17"/>
      <c r="DB2267" s="17"/>
      <c r="DC2267" s="17"/>
      <c r="DD2267" s="17"/>
      <c r="DE2267" s="17"/>
      <c r="DF2267" s="17"/>
      <c r="DG2267" s="17"/>
      <c r="DH2267" s="17"/>
      <c r="DI2267" s="17"/>
      <c r="DJ2267" s="17"/>
      <c r="DK2267" s="17"/>
      <c r="DL2267" s="17"/>
      <c r="DM2267" s="17"/>
      <c r="DN2267" s="17"/>
      <c r="DO2267" s="17"/>
      <c r="DP2267" s="17"/>
      <c r="DQ2267" s="17"/>
      <c r="DR2267" s="17"/>
      <c r="DS2267" s="17"/>
      <c r="DT2267" s="17"/>
      <c r="DU2267" s="17"/>
      <c r="DV2267" s="17"/>
      <c r="DW2267" s="17"/>
      <c r="DX2267" s="17"/>
      <c r="DY2267" s="17"/>
      <c r="DZ2267" s="17"/>
      <c r="EA2267" s="17"/>
      <c r="EB2267" s="17"/>
      <c r="EC2267" s="17"/>
      <c r="ED2267" s="17"/>
    </row>
    <row r="2268" spans="6:134"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  <c r="AX2268" s="17"/>
      <c r="AY2268" s="17"/>
      <c r="AZ2268" s="17"/>
      <c r="BA2268" s="17"/>
      <c r="BB2268" s="17"/>
      <c r="BC2268" s="17"/>
      <c r="BD2268" s="17"/>
      <c r="BE2268" s="17"/>
      <c r="BF2268" s="17"/>
      <c r="BG2268" s="17"/>
      <c r="BH2268" s="17"/>
      <c r="BI2268" s="17"/>
      <c r="BJ2268" s="17"/>
      <c r="BK2268" s="17"/>
      <c r="BL2268" s="17"/>
      <c r="BM2268" s="17"/>
      <c r="BN2268" s="17"/>
      <c r="BO2268" s="17"/>
      <c r="BP2268" s="17"/>
      <c r="BQ2268" s="17"/>
      <c r="BR2268" s="17"/>
      <c r="BS2268" s="17"/>
      <c r="BT2268" s="17"/>
      <c r="BU2268" s="17"/>
      <c r="BV2268" s="17"/>
      <c r="BW2268" s="17"/>
      <c r="BX2268" s="17"/>
      <c r="BY2268" s="17"/>
      <c r="BZ2268" s="17"/>
      <c r="CA2268" s="17"/>
      <c r="CB2268" s="17"/>
      <c r="CC2268" s="17"/>
      <c r="CD2268" s="17"/>
      <c r="CE2268" s="17"/>
      <c r="CF2268" s="17"/>
      <c r="CG2268" s="17"/>
      <c r="CH2268" s="17"/>
      <c r="CI2268" s="17"/>
      <c r="CJ2268" s="17"/>
      <c r="CK2268" s="17"/>
      <c r="CL2268" s="17"/>
      <c r="CM2268" s="17"/>
      <c r="CN2268" s="17"/>
      <c r="CO2268" s="17"/>
      <c r="CP2268" s="17"/>
      <c r="CQ2268" s="17"/>
      <c r="CR2268" s="17"/>
      <c r="CS2268" s="17"/>
      <c r="CT2268" s="17"/>
      <c r="CU2268" s="17"/>
      <c r="CV2268" s="17"/>
      <c r="CW2268" s="17"/>
      <c r="CX2268" s="17"/>
      <c r="CY2268" s="17"/>
      <c r="CZ2268" s="17"/>
      <c r="DA2268" s="17"/>
      <c r="DB2268" s="17"/>
      <c r="DC2268" s="17"/>
      <c r="DD2268" s="17"/>
      <c r="DE2268" s="17"/>
      <c r="DF2268" s="17"/>
      <c r="DG2268" s="17"/>
      <c r="DH2268" s="17"/>
      <c r="DI2268" s="17"/>
      <c r="DJ2268" s="17"/>
      <c r="DK2268" s="17"/>
      <c r="DL2268" s="17"/>
      <c r="DM2268" s="17"/>
      <c r="DN2268" s="17"/>
      <c r="DO2268" s="17"/>
      <c r="DP2268" s="17"/>
      <c r="DQ2268" s="17"/>
      <c r="DR2268" s="17"/>
      <c r="DS2268" s="17"/>
      <c r="DT2268" s="17"/>
      <c r="DU2268" s="17"/>
      <c r="DV2268" s="17"/>
      <c r="DW2268" s="17"/>
      <c r="DX2268" s="17"/>
      <c r="DY2268" s="17"/>
      <c r="DZ2268" s="17"/>
      <c r="EA2268" s="17"/>
      <c r="EB2268" s="17"/>
      <c r="EC2268" s="17"/>
      <c r="ED2268" s="17"/>
    </row>
    <row r="2269" spans="6:134"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  <c r="AX2269" s="17"/>
      <c r="AY2269" s="17"/>
      <c r="AZ2269" s="17"/>
      <c r="BA2269" s="17"/>
      <c r="BB2269" s="17"/>
      <c r="BC2269" s="17"/>
      <c r="BD2269" s="17"/>
      <c r="BE2269" s="17"/>
      <c r="BF2269" s="17"/>
      <c r="BG2269" s="17"/>
      <c r="BH2269" s="17"/>
      <c r="BI2269" s="17"/>
      <c r="BJ2269" s="17"/>
      <c r="BK2269" s="17"/>
      <c r="BL2269" s="17"/>
      <c r="BM2269" s="17"/>
      <c r="BN2269" s="17"/>
      <c r="BO2269" s="17"/>
      <c r="BP2269" s="17"/>
      <c r="BQ2269" s="17"/>
      <c r="BR2269" s="17"/>
      <c r="BS2269" s="17"/>
      <c r="BT2269" s="17"/>
      <c r="BU2269" s="17"/>
      <c r="BV2269" s="17"/>
      <c r="BW2269" s="17"/>
      <c r="BX2269" s="17"/>
      <c r="BY2269" s="17"/>
      <c r="BZ2269" s="17"/>
      <c r="CA2269" s="17"/>
      <c r="CB2269" s="17"/>
      <c r="CC2269" s="17"/>
      <c r="CD2269" s="17"/>
      <c r="CE2269" s="17"/>
      <c r="CF2269" s="17"/>
      <c r="CG2269" s="17"/>
      <c r="CH2269" s="17"/>
      <c r="CI2269" s="17"/>
      <c r="CJ2269" s="17"/>
      <c r="CK2269" s="17"/>
      <c r="CL2269" s="17"/>
      <c r="CM2269" s="17"/>
      <c r="CN2269" s="17"/>
      <c r="CO2269" s="17"/>
      <c r="CP2269" s="17"/>
      <c r="CQ2269" s="17"/>
      <c r="CR2269" s="17"/>
      <c r="CS2269" s="17"/>
      <c r="CT2269" s="17"/>
      <c r="CU2269" s="17"/>
      <c r="CV2269" s="17"/>
      <c r="CW2269" s="17"/>
      <c r="CX2269" s="17"/>
      <c r="CY2269" s="17"/>
      <c r="CZ2269" s="17"/>
      <c r="DA2269" s="17"/>
      <c r="DB2269" s="17"/>
      <c r="DC2269" s="17"/>
      <c r="DD2269" s="17"/>
      <c r="DE2269" s="17"/>
      <c r="DF2269" s="17"/>
      <c r="DG2269" s="17"/>
      <c r="DH2269" s="17"/>
      <c r="DI2269" s="17"/>
      <c r="DJ2269" s="17"/>
      <c r="DK2269" s="17"/>
      <c r="DL2269" s="17"/>
      <c r="DM2269" s="17"/>
      <c r="DN2269" s="17"/>
      <c r="DO2269" s="17"/>
      <c r="DP2269" s="17"/>
      <c r="DQ2269" s="17"/>
      <c r="DR2269" s="17"/>
      <c r="DS2269" s="17"/>
      <c r="DT2269" s="17"/>
      <c r="DU2269" s="17"/>
      <c r="DV2269" s="17"/>
      <c r="DW2269" s="17"/>
      <c r="DX2269" s="17"/>
      <c r="DY2269" s="17"/>
      <c r="DZ2269" s="17"/>
      <c r="EA2269" s="17"/>
      <c r="EB2269" s="17"/>
      <c r="EC2269" s="17"/>
      <c r="ED2269" s="17"/>
    </row>
    <row r="2270" spans="6:134"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  <c r="AX2270" s="17"/>
      <c r="AY2270" s="17"/>
      <c r="AZ2270" s="17"/>
      <c r="BA2270" s="17"/>
      <c r="BB2270" s="17"/>
      <c r="BC2270" s="17"/>
      <c r="BD2270" s="17"/>
      <c r="BE2270" s="17"/>
      <c r="BF2270" s="17"/>
      <c r="BG2270" s="17"/>
      <c r="BH2270" s="17"/>
      <c r="BI2270" s="17"/>
      <c r="BJ2270" s="17"/>
      <c r="BK2270" s="17"/>
      <c r="BL2270" s="17"/>
      <c r="BM2270" s="17"/>
      <c r="BN2270" s="17"/>
      <c r="BO2270" s="17"/>
      <c r="BP2270" s="17"/>
      <c r="BQ2270" s="17"/>
      <c r="BR2270" s="17"/>
      <c r="BS2270" s="17"/>
      <c r="BT2270" s="17"/>
      <c r="BU2270" s="17"/>
      <c r="BV2270" s="17"/>
      <c r="BW2270" s="17"/>
      <c r="BX2270" s="17"/>
      <c r="BY2270" s="17"/>
      <c r="BZ2270" s="17"/>
      <c r="CA2270" s="17"/>
      <c r="CB2270" s="17"/>
      <c r="CC2270" s="17"/>
      <c r="CD2270" s="17"/>
      <c r="CE2270" s="17"/>
      <c r="CF2270" s="17"/>
      <c r="CG2270" s="17"/>
      <c r="CH2270" s="17"/>
      <c r="CI2270" s="17"/>
      <c r="CJ2270" s="17"/>
      <c r="CK2270" s="17"/>
      <c r="CL2270" s="17"/>
      <c r="CM2270" s="17"/>
      <c r="CN2270" s="17"/>
      <c r="CO2270" s="17"/>
      <c r="CP2270" s="17"/>
      <c r="CQ2270" s="17"/>
      <c r="CR2270" s="17"/>
      <c r="CS2270" s="17"/>
      <c r="CT2270" s="17"/>
      <c r="CU2270" s="17"/>
      <c r="CV2270" s="17"/>
      <c r="CW2270" s="17"/>
      <c r="CX2270" s="17"/>
      <c r="CY2270" s="17"/>
      <c r="CZ2270" s="17"/>
      <c r="DA2270" s="17"/>
      <c r="DB2270" s="17"/>
      <c r="DC2270" s="17"/>
      <c r="DD2270" s="17"/>
      <c r="DE2270" s="17"/>
      <c r="DF2270" s="17"/>
      <c r="DG2270" s="17"/>
      <c r="DH2270" s="17"/>
      <c r="DI2270" s="17"/>
      <c r="DJ2270" s="17"/>
      <c r="DK2270" s="17"/>
      <c r="DL2270" s="17"/>
      <c r="DM2270" s="17"/>
      <c r="DN2270" s="17"/>
      <c r="DO2270" s="17"/>
      <c r="DP2270" s="17"/>
      <c r="DQ2270" s="17"/>
      <c r="DR2270" s="17"/>
      <c r="DS2270" s="17"/>
      <c r="DT2270" s="17"/>
      <c r="DU2270" s="17"/>
      <c r="DV2270" s="17"/>
      <c r="DW2270" s="17"/>
      <c r="DX2270" s="17"/>
      <c r="DY2270" s="17"/>
      <c r="DZ2270" s="17"/>
      <c r="EA2270" s="17"/>
      <c r="EB2270" s="17"/>
      <c r="EC2270" s="17"/>
      <c r="ED2270" s="17"/>
    </row>
    <row r="2271" spans="6:134"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  <c r="AX2271" s="17"/>
      <c r="AY2271" s="17"/>
      <c r="AZ2271" s="17"/>
      <c r="BA2271" s="17"/>
      <c r="BB2271" s="17"/>
      <c r="BC2271" s="17"/>
      <c r="BD2271" s="17"/>
      <c r="BE2271" s="17"/>
      <c r="BF2271" s="17"/>
      <c r="BG2271" s="17"/>
      <c r="BH2271" s="17"/>
      <c r="BI2271" s="17"/>
      <c r="BJ2271" s="17"/>
      <c r="BK2271" s="17"/>
      <c r="BL2271" s="17"/>
      <c r="BM2271" s="17"/>
      <c r="BN2271" s="17"/>
      <c r="BO2271" s="17"/>
      <c r="BP2271" s="17"/>
      <c r="BQ2271" s="17"/>
      <c r="BR2271" s="17"/>
      <c r="BS2271" s="17"/>
      <c r="BT2271" s="17"/>
      <c r="BU2271" s="17"/>
      <c r="BV2271" s="17"/>
      <c r="BW2271" s="17"/>
      <c r="BX2271" s="17"/>
      <c r="BY2271" s="17"/>
      <c r="BZ2271" s="17"/>
      <c r="CA2271" s="17"/>
      <c r="CB2271" s="17"/>
      <c r="CC2271" s="17"/>
      <c r="CD2271" s="17"/>
      <c r="CE2271" s="17"/>
      <c r="CF2271" s="17"/>
      <c r="CG2271" s="17"/>
      <c r="CH2271" s="17"/>
      <c r="CI2271" s="17"/>
      <c r="CJ2271" s="17"/>
      <c r="CK2271" s="17"/>
      <c r="CL2271" s="17"/>
      <c r="CM2271" s="17"/>
      <c r="CN2271" s="17"/>
      <c r="CO2271" s="17"/>
      <c r="CP2271" s="17"/>
      <c r="CQ2271" s="17"/>
      <c r="CR2271" s="17"/>
      <c r="CS2271" s="17"/>
      <c r="CT2271" s="17"/>
      <c r="CU2271" s="17"/>
      <c r="CV2271" s="17"/>
      <c r="CW2271" s="17"/>
      <c r="CX2271" s="17"/>
      <c r="CY2271" s="17"/>
      <c r="CZ2271" s="17"/>
      <c r="DA2271" s="17"/>
      <c r="DB2271" s="17"/>
      <c r="DC2271" s="17"/>
      <c r="DD2271" s="17"/>
      <c r="DE2271" s="17"/>
      <c r="DF2271" s="17"/>
      <c r="DG2271" s="17"/>
      <c r="DH2271" s="17"/>
      <c r="DI2271" s="17"/>
      <c r="DJ2271" s="17"/>
      <c r="DK2271" s="17"/>
      <c r="DL2271" s="17"/>
      <c r="DM2271" s="17"/>
      <c r="DN2271" s="17"/>
      <c r="DO2271" s="17"/>
      <c r="DP2271" s="17"/>
      <c r="DQ2271" s="17"/>
      <c r="DR2271" s="17"/>
      <c r="DS2271" s="17"/>
      <c r="DT2271" s="17"/>
      <c r="DU2271" s="17"/>
      <c r="DV2271" s="17"/>
      <c r="DW2271" s="17"/>
      <c r="DX2271" s="17"/>
      <c r="DY2271" s="17"/>
      <c r="DZ2271" s="17"/>
      <c r="EA2271" s="17"/>
      <c r="EB2271" s="17"/>
      <c r="EC2271" s="17"/>
      <c r="ED2271" s="17"/>
    </row>
    <row r="2272" spans="6:134"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  <c r="AX2272" s="17"/>
      <c r="AY2272" s="17"/>
      <c r="AZ2272" s="17"/>
      <c r="BA2272" s="17"/>
      <c r="BB2272" s="17"/>
      <c r="BC2272" s="17"/>
      <c r="BD2272" s="17"/>
      <c r="BE2272" s="17"/>
      <c r="BF2272" s="17"/>
      <c r="BG2272" s="17"/>
      <c r="BH2272" s="17"/>
      <c r="BI2272" s="17"/>
      <c r="BJ2272" s="17"/>
      <c r="BK2272" s="17"/>
      <c r="BL2272" s="17"/>
      <c r="BM2272" s="17"/>
      <c r="BN2272" s="17"/>
      <c r="BO2272" s="17"/>
      <c r="BP2272" s="17"/>
      <c r="BQ2272" s="17"/>
      <c r="BR2272" s="17"/>
      <c r="BS2272" s="17"/>
      <c r="BT2272" s="17"/>
      <c r="BU2272" s="17"/>
      <c r="BV2272" s="17"/>
      <c r="BW2272" s="17"/>
      <c r="BX2272" s="17"/>
      <c r="BY2272" s="17"/>
      <c r="BZ2272" s="17"/>
      <c r="CA2272" s="17"/>
      <c r="CB2272" s="17"/>
      <c r="CC2272" s="17"/>
      <c r="CD2272" s="17"/>
      <c r="CE2272" s="17"/>
      <c r="CF2272" s="17"/>
      <c r="CG2272" s="17"/>
      <c r="CH2272" s="17"/>
      <c r="CI2272" s="17"/>
      <c r="CJ2272" s="17"/>
      <c r="CK2272" s="17"/>
      <c r="CL2272" s="17"/>
      <c r="CM2272" s="17"/>
      <c r="CN2272" s="17"/>
      <c r="CO2272" s="17"/>
      <c r="CP2272" s="17"/>
      <c r="CQ2272" s="17"/>
      <c r="CR2272" s="17"/>
      <c r="CS2272" s="17"/>
      <c r="CT2272" s="17"/>
      <c r="CU2272" s="17"/>
      <c r="CV2272" s="17"/>
      <c r="CW2272" s="17"/>
      <c r="CX2272" s="17"/>
      <c r="CY2272" s="17"/>
      <c r="CZ2272" s="17"/>
      <c r="DA2272" s="17"/>
      <c r="DB2272" s="17"/>
      <c r="DC2272" s="17"/>
      <c r="DD2272" s="17"/>
      <c r="DE2272" s="17"/>
      <c r="DF2272" s="17"/>
      <c r="DG2272" s="17"/>
      <c r="DH2272" s="17"/>
      <c r="DI2272" s="17"/>
      <c r="DJ2272" s="17"/>
      <c r="DK2272" s="17"/>
      <c r="DL2272" s="17"/>
      <c r="DM2272" s="17"/>
      <c r="DN2272" s="17"/>
      <c r="DO2272" s="17"/>
      <c r="DP2272" s="17"/>
      <c r="DQ2272" s="17"/>
      <c r="DR2272" s="17"/>
      <c r="DS2272" s="17"/>
      <c r="DT2272" s="17"/>
      <c r="DU2272" s="17"/>
      <c r="DV2272" s="17"/>
      <c r="DW2272" s="17"/>
      <c r="DX2272" s="17"/>
      <c r="DY2272" s="17"/>
      <c r="DZ2272" s="17"/>
      <c r="EA2272" s="17"/>
      <c r="EB2272" s="17"/>
      <c r="EC2272" s="17"/>
      <c r="ED2272" s="17"/>
    </row>
    <row r="2273" spans="6:134"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  <c r="AX2273" s="17"/>
      <c r="AY2273" s="17"/>
      <c r="AZ2273" s="17"/>
      <c r="BA2273" s="17"/>
      <c r="BB2273" s="17"/>
      <c r="BC2273" s="17"/>
      <c r="BD2273" s="17"/>
      <c r="BE2273" s="17"/>
      <c r="BF2273" s="17"/>
      <c r="BG2273" s="17"/>
      <c r="BH2273" s="17"/>
      <c r="BI2273" s="17"/>
      <c r="BJ2273" s="17"/>
      <c r="BK2273" s="17"/>
      <c r="BL2273" s="17"/>
      <c r="BM2273" s="17"/>
      <c r="BN2273" s="17"/>
      <c r="BO2273" s="17"/>
      <c r="BP2273" s="17"/>
      <c r="BQ2273" s="17"/>
      <c r="BR2273" s="17"/>
      <c r="BS2273" s="17"/>
      <c r="BT2273" s="17"/>
      <c r="BU2273" s="17"/>
      <c r="BV2273" s="17"/>
      <c r="BW2273" s="17"/>
      <c r="BX2273" s="17"/>
      <c r="BY2273" s="17"/>
      <c r="BZ2273" s="17"/>
      <c r="CA2273" s="17"/>
      <c r="CB2273" s="17"/>
      <c r="CC2273" s="17"/>
      <c r="CD2273" s="17"/>
      <c r="CE2273" s="17"/>
      <c r="CF2273" s="17"/>
      <c r="CG2273" s="17"/>
      <c r="CH2273" s="17"/>
      <c r="CI2273" s="17"/>
      <c r="CJ2273" s="17"/>
      <c r="CK2273" s="17"/>
      <c r="CL2273" s="17"/>
      <c r="CM2273" s="17"/>
      <c r="CN2273" s="17"/>
      <c r="CO2273" s="17"/>
      <c r="CP2273" s="17"/>
      <c r="CQ2273" s="17"/>
      <c r="CR2273" s="17"/>
      <c r="CS2273" s="17"/>
      <c r="CT2273" s="17"/>
      <c r="CU2273" s="17"/>
      <c r="CV2273" s="17"/>
      <c r="CW2273" s="17"/>
      <c r="CX2273" s="17"/>
      <c r="CY2273" s="17"/>
      <c r="CZ2273" s="17"/>
      <c r="DA2273" s="17"/>
      <c r="DB2273" s="17"/>
      <c r="DC2273" s="17"/>
      <c r="DD2273" s="17"/>
      <c r="DE2273" s="17"/>
      <c r="DF2273" s="17"/>
      <c r="DG2273" s="17"/>
      <c r="DH2273" s="17"/>
      <c r="DI2273" s="17"/>
      <c r="DJ2273" s="17"/>
      <c r="DK2273" s="17"/>
      <c r="DL2273" s="17"/>
      <c r="DM2273" s="17"/>
      <c r="DN2273" s="17"/>
      <c r="DO2273" s="17"/>
      <c r="DP2273" s="17"/>
      <c r="DQ2273" s="17"/>
      <c r="DR2273" s="17"/>
      <c r="DS2273" s="17"/>
      <c r="DT2273" s="17"/>
      <c r="DU2273" s="17"/>
      <c r="DV2273" s="17"/>
      <c r="DW2273" s="17"/>
      <c r="DX2273" s="17"/>
      <c r="DY2273" s="17"/>
      <c r="DZ2273" s="17"/>
      <c r="EA2273" s="17"/>
      <c r="EB2273" s="17"/>
      <c r="EC2273" s="17"/>
      <c r="ED2273" s="17"/>
    </row>
    <row r="2274" spans="6:134"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  <c r="AX2274" s="17"/>
      <c r="AY2274" s="17"/>
      <c r="AZ2274" s="17"/>
      <c r="BA2274" s="17"/>
      <c r="BB2274" s="17"/>
      <c r="BC2274" s="17"/>
      <c r="BD2274" s="17"/>
      <c r="BE2274" s="17"/>
      <c r="BF2274" s="17"/>
      <c r="BG2274" s="17"/>
      <c r="BH2274" s="17"/>
      <c r="BI2274" s="17"/>
      <c r="BJ2274" s="17"/>
      <c r="BK2274" s="17"/>
      <c r="BL2274" s="17"/>
      <c r="BM2274" s="17"/>
      <c r="BN2274" s="17"/>
      <c r="BO2274" s="17"/>
      <c r="BP2274" s="17"/>
      <c r="BQ2274" s="17"/>
      <c r="BR2274" s="17"/>
      <c r="BS2274" s="17"/>
      <c r="BT2274" s="17"/>
      <c r="BU2274" s="17"/>
      <c r="BV2274" s="17"/>
      <c r="BW2274" s="17"/>
      <c r="BX2274" s="17"/>
      <c r="BY2274" s="17"/>
      <c r="BZ2274" s="17"/>
      <c r="CA2274" s="17"/>
      <c r="CB2274" s="17"/>
      <c r="CC2274" s="17"/>
      <c r="CD2274" s="17"/>
      <c r="CE2274" s="17"/>
      <c r="CF2274" s="17"/>
      <c r="CG2274" s="17"/>
      <c r="CH2274" s="17"/>
      <c r="CI2274" s="17"/>
      <c r="CJ2274" s="17"/>
      <c r="CK2274" s="17"/>
      <c r="CL2274" s="17"/>
      <c r="CM2274" s="17"/>
      <c r="CN2274" s="17"/>
      <c r="CO2274" s="17"/>
      <c r="CP2274" s="17"/>
      <c r="CQ2274" s="17"/>
      <c r="CR2274" s="17"/>
      <c r="CS2274" s="17"/>
      <c r="CT2274" s="17"/>
      <c r="CU2274" s="17"/>
      <c r="CV2274" s="17"/>
      <c r="CW2274" s="17"/>
      <c r="CX2274" s="17"/>
      <c r="CY2274" s="17"/>
      <c r="CZ2274" s="17"/>
      <c r="DA2274" s="17"/>
      <c r="DB2274" s="17"/>
      <c r="DC2274" s="17"/>
      <c r="DD2274" s="17"/>
      <c r="DE2274" s="17"/>
      <c r="DF2274" s="17"/>
      <c r="DG2274" s="17"/>
      <c r="DH2274" s="17"/>
      <c r="DI2274" s="17"/>
      <c r="DJ2274" s="17"/>
      <c r="DK2274" s="17"/>
      <c r="DL2274" s="17"/>
      <c r="DM2274" s="17"/>
      <c r="DN2274" s="17"/>
      <c r="DO2274" s="17"/>
      <c r="DP2274" s="17"/>
      <c r="DQ2274" s="17"/>
      <c r="DR2274" s="17"/>
      <c r="DS2274" s="17"/>
      <c r="DT2274" s="17"/>
      <c r="DU2274" s="17"/>
      <c r="DV2274" s="17"/>
      <c r="DW2274" s="17"/>
      <c r="DX2274" s="17"/>
      <c r="DY2274" s="17"/>
      <c r="DZ2274" s="17"/>
      <c r="EA2274" s="17"/>
      <c r="EB2274" s="17"/>
      <c r="EC2274" s="17"/>
      <c r="ED2274" s="17"/>
    </row>
    <row r="2275" spans="6:134"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  <c r="AX2275" s="17"/>
      <c r="AY2275" s="17"/>
      <c r="AZ2275" s="17"/>
      <c r="BA2275" s="17"/>
      <c r="BB2275" s="17"/>
      <c r="BC2275" s="17"/>
      <c r="BD2275" s="17"/>
      <c r="BE2275" s="17"/>
      <c r="BF2275" s="17"/>
      <c r="BG2275" s="17"/>
      <c r="BH2275" s="17"/>
      <c r="BI2275" s="17"/>
      <c r="BJ2275" s="17"/>
      <c r="BK2275" s="17"/>
      <c r="BL2275" s="17"/>
      <c r="BM2275" s="17"/>
      <c r="BN2275" s="17"/>
      <c r="BO2275" s="17"/>
      <c r="BP2275" s="17"/>
      <c r="BQ2275" s="17"/>
      <c r="BR2275" s="17"/>
      <c r="BS2275" s="17"/>
      <c r="BT2275" s="17"/>
      <c r="BU2275" s="17"/>
      <c r="BV2275" s="17"/>
      <c r="BW2275" s="17"/>
      <c r="BX2275" s="17"/>
      <c r="BY2275" s="17"/>
      <c r="BZ2275" s="17"/>
      <c r="CA2275" s="17"/>
      <c r="CB2275" s="17"/>
      <c r="CC2275" s="17"/>
      <c r="CD2275" s="17"/>
      <c r="CE2275" s="17"/>
      <c r="CF2275" s="17"/>
      <c r="CG2275" s="17"/>
      <c r="CH2275" s="17"/>
      <c r="CI2275" s="17"/>
      <c r="CJ2275" s="17"/>
      <c r="CK2275" s="17"/>
      <c r="CL2275" s="17"/>
      <c r="CM2275" s="17"/>
      <c r="CN2275" s="17"/>
      <c r="CO2275" s="17"/>
      <c r="CP2275" s="17"/>
      <c r="CQ2275" s="17"/>
      <c r="CR2275" s="17"/>
      <c r="CS2275" s="17"/>
      <c r="CT2275" s="17"/>
      <c r="CU2275" s="17"/>
      <c r="CV2275" s="17"/>
      <c r="CW2275" s="17"/>
      <c r="CX2275" s="17"/>
      <c r="CY2275" s="17"/>
      <c r="CZ2275" s="17"/>
      <c r="DA2275" s="17"/>
      <c r="DB2275" s="17"/>
      <c r="DC2275" s="17"/>
      <c r="DD2275" s="17"/>
      <c r="DE2275" s="17"/>
      <c r="DF2275" s="17"/>
      <c r="DG2275" s="17"/>
      <c r="DH2275" s="17"/>
      <c r="DI2275" s="17"/>
      <c r="DJ2275" s="17"/>
      <c r="DK2275" s="17"/>
      <c r="DL2275" s="17"/>
      <c r="DM2275" s="17"/>
      <c r="DN2275" s="17"/>
      <c r="DO2275" s="17"/>
      <c r="DP2275" s="17"/>
      <c r="DQ2275" s="17"/>
      <c r="DR2275" s="17"/>
      <c r="DS2275" s="17"/>
      <c r="DT2275" s="17"/>
      <c r="DU2275" s="17"/>
      <c r="DV2275" s="17"/>
      <c r="DW2275" s="17"/>
      <c r="DX2275" s="17"/>
      <c r="DY2275" s="17"/>
      <c r="DZ2275" s="17"/>
      <c r="EA2275" s="17"/>
      <c r="EB2275" s="17"/>
      <c r="EC2275" s="17"/>
      <c r="ED2275" s="17"/>
    </row>
    <row r="2276" spans="6:134"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  <c r="AX2276" s="17"/>
      <c r="AY2276" s="17"/>
      <c r="AZ2276" s="17"/>
      <c r="BA2276" s="17"/>
      <c r="BB2276" s="17"/>
      <c r="BC2276" s="17"/>
      <c r="BD2276" s="17"/>
      <c r="BE2276" s="17"/>
      <c r="BF2276" s="17"/>
      <c r="BG2276" s="17"/>
      <c r="BH2276" s="17"/>
      <c r="BI2276" s="17"/>
      <c r="BJ2276" s="17"/>
      <c r="BK2276" s="17"/>
      <c r="BL2276" s="17"/>
      <c r="BM2276" s="17"/>
      <c r="BN2276" s="17"/>
      <c r="BO2276" s="17"/>
      <c r="BP2276" s="17"/>
      <c r="BQ2276" s="17"/>
      <c r="BR2276" s="17"/>
      <c r="BS2276" s="17"/>
      <c r="BT2276" s="17"/>
      <c r="BU2276" s="17"/>
      <c r="BV2276" s="17"/>
      <c r="BW2276" s="17"/>
      <c r="BX2276" s="17"/>
      <c r="BY2276" s="17"/>
      <c r="BZ2276" s="17"/>
      <c r="CA2276" s="17"/>
      <c r="CB2276" s="17"/>
      <c r="CC2276" s="17"/>
      <c r="CD2276" s="17"/>
      <c r="CE2276" s="17"/>
      <c r="CF2276" s="17"/>
      <c r="CG2276" s="17"/>
      <c r="CH2276" s="17"/>
      <c r="CI2276" s="17"/>
      <c r="CJ2276" s="17"/>
      <c r="CK2276" s="17"/>
      <c r="CL2276" s="17"/>
      <c r="CM2276" s="17"/>
      <c r="CN2276" s="17"/>
      <c r="CO2276" s="17"/>
      <c r="CP2276" s="17"/>
      <c r="CQ2276" s="17"/>
      <c r="CR2276" s="17"/>
      <c r="CS2276" s="17"/>
      <c r="CT2276" s="17"/>
      <c r="CU2276" s="17"/>
      <c r="CV2276" s="17"/>
      <c r="CW2276" s="17"/>
      <c r="CX2276" s="17"/>
      <c r="CY2276" s="17"/>
      <c r="CZ2276" s="17"/>
      <c r="DA2276" s="17"/>
      <c r="DB2276" s="17"/>
      <c r="DC2276" s="17"/>
      <c r="DD2276" s="17"/>
      <c r="DE2276" s="17"/>
      <c r="DF2276" s="17"/>
      <c r="DG2276" s="17"/>
      <c r="DH2276" s="17"/>
      <c r="DI2276" s="17"/>
      <c r="DJ2276" s="17"/>
      <c r="DK2276" s="17"/>
      <c r="DL2276" s="17"/>
      <c r="DM2276" s="17"/>
      <c r="DN2276" s="17"/>
      <c r="DO2276" s="17"/>
      <c r="DP2276" s="17"/>
      <c r="DQ2276" s="17"/>
      <c r="DR2276" s="17"/>
      <c r="DS2276" s="17"/>
      <c r="DT2276" s="17"/>
      <c r="DU2276" s="17"/>
      <c r="DV2276" s="17"/>
      <c r="DW2276" s="17"/>
      <c r="DX2276" s="17"/>
      <c r="DY2276" s="17"/>
      <c r="DZ2276" s="17"/>
      <c r="EA2276" s="17"/>
      <c r="EB2276" s="17"/>
      <c r="EC2276" s="17"/>
      <c r="ED2276" s="17"/>
    </row>
    <row r="2277" spans="6:134"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  <c r="AX2277" s="17"/>
      <c r="AY2277" s="17"/>
      <c r="AZ2277" s="17"/>
      <c r="BA2277" s="17"/>
      <c r="BB2277" s="17"/>
      <c r="BC2277" s="17"/>
      <c r="BD2277" s="17"/>
      <c r="BE2277" s="17"/>
      <c r="BF2277" s="17"/>
      <c r="BG2277" s="17"/>
      <c r="BH2277" s="17"/>
      <c r="BI2277" s="17"/>
      <c r="BJ2277" s="17"/>
      <c r="BK2277" s="17"/>
      <c r="BL2277" s="17"/>
      <c r="BM2277" s="17"/>
      <c r="BN2277" s="17"/>
      <c r="BO2277" s="17"/>
      <c r="BP2277" s="17"/>
      <c r="BQ2277" s="17"/>
      <c r="BR2277" s="17"/>
      <c r="BS2277" s="17"/>
      <c r="BT2277" s="17"/>
      <c r="BU2277" s="17"/>
      <c r="BV2277" s="17"/>
      <c r="BW2277" s="17"/>
      <c r="BX2277" s="17"/>
      <c r="BY2277" s="17"/>
      <c r="BZ2277" s="17"/>
      <c r="CA2277" s="17"/>
      <c r="CB2277" s="17"/>
      <c r="CC2277" s="17"/>
      <c r="CD2277" s="17"/>
      <c r="CE2277" s="17"/>
      <c r="CF2277" s="17"/>
      <c r="CG2277" s="17"/>
      <c r="CH2277" s="17"/>
      <c r="CI2277" s="17"/>
      <c r="CJ2277" s="17"/>
      <c r="CK2277" s="17"/>
      <c r="CL2277" s="17"/>
      <c r="CM2277" s="17"/>
      <c r="CN2277" s="17"/>
      <c r="CO2277" s="17"/>
      <c r="CP2277" s="17"/>
      <c r="CQ2277" s="17"/>
      <c r="CR2277" s="17"/>
      <c r="CS2277" s="17"/>
      <c r="CT2277" s="17"/>
      <c r="CU2277" s="17"/>
      <c r="CV2277" s="17"/>
      <c r="CW2277" s="17"/>
      <c r="CX2277" s="17"/>
      <c r="CY2277" s="17"/>
      <c r="CZ2277" s="17"/>
      <c r="DA2277" s="17"/>
      <c r="DB2277" s="17"/>
      <c r="DC2277" s="17"/>
      <c r="DD2277" s="17"/>
      <c r="DE2277" s="17"/>
      <c r="DF2277" s="17"/>
      <c r="DG2277" s="17"/>
      <c r="DH2277" s="17"/>
      <c r="DI2277" s="17"/>
      <c r="DJ2277" s="17"/>
      <c r="DK2277" s="17"/>
      <c r="DL2277" s="17"/>
      <c r="DM2277" s="17"/>
      <c r="DN2277" s="17"/>
      <c r="DO2277" s="17"/>
      <c r="DP2277" s="17"/>
      <c r="DQ2277" s="17"/>
      <c r="DR2277" s="17"/>
      <c r="DS2277" s="17"/>
      <c r="DT2277" s="17"/>
      <c r="DU2277" s="17"/>
      <c r="DV2277" s="17"/>
      <c r="DW2277" s="17"/>
      <c r="DX2277" s="17"/>
      <c r="DY2277" s="17"/>
      <c r="DZ2277" s="17"/>
      <c r="EA2277" s="17"/>
      <c r="EB2277" s="17"/>
      <c r="EC2277" s="17"/>
      <c r="ED2277" s="17"/>
    </row>
    <row r="2278" spans="6:134">
      <c r="G2278" s="17"/>
      <c r="H2278" s="17"/>
      <c r="I2278" s="17"/>
    </row>
  </sheetData>
  <sheetProtection selectLockedCells="1"/>
  <customSheetViews>
    <customSheetView guid="{DE5B7886-4BB5-4BFA-B6B7-1534718A9F64}" showAutoFilter="1" state="hidden">
      <selection activeCell="G11" sqref="G11"/>
      <pageMargins left="0.7" right="0.7" top="0.78740157499999996" bottom="0.78740157499999996" header="0.3" footer="0.3"/>
      <autoFilter ref="A1:E1" xr:uid="{702226AE-0C81-4839-BB4A-D222D69D27C2}">
        <sortState xmlns:xlrd2="http://schemas.microsoft.com/office/spreadsheetml/2017/richdata2" ref="A2:F2256">
          <sortCondition ref="A1"/>
        </sortState>
      </autoFilter>
    </customSheetView>
  </customSheetViews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theme="9"/>
  </sheetPr>
  <dimension ref="A1:B21"/>
  <sheetViews>
    <sheetView workbookViewId="0">
      <selection activeCell="K36" sqref="K36"/>
    </sheetView>
  </sheetViews>
  <sheetFormatPr baseColWidth="10" defaultRowHeight="14.25"/>
  <cols>
    <col min="1" max="1" width="83.125" bestFit="1" customWidth="1"/>
  </cols>
  <sheetData>
    <row r="1" spans="1:2">
      <c r="B1">
        <v>2025</v>
      </c>
    </row>
    <row r="2" spans="1:2" ht="18">
      <c r="A2" s="78" t="s">
        <v>69</v>
      </c>
      <c r="B2" s="88">
        <v>0</v>
      </c>
    </row>
    <row r="3" spans="1:2">
      <c r="A3" s="3" t="s">
        <v>80</v>
      </c>
      <c r="B3" s="77">
        <v>0</v>
      </c>
    </row>
    <row r="4" spans="1:2">
      <c r="A4" s="25" t="s">
        <v>63</v>
      </c>
      <c r="B4" s="77">
        <v>0.05</v>
      </c>
    </row>
    <row r="5" spans="1:2">
      <c r="A5" s="25" t="s">
        <v>60</v>
      </c>
      <c r="B5" s="77">
        <v>0.05</v>
      </c>
    </row>
    <row r="6" spans="1:2">
      <c r="A6" s="25" t="s">
        <v>61</v>
      </c>
      <c r="B6" s="77">
        <v>0.1</v>
      </c>
    </row>
    <row r="7" spans="1:2">
      <c r="A7" s="25" t="s">
        <v>62</v>
      </c>
      <c r="B7" s="77">
        <v>0.1</v>
      </c>
    </row>
    <row r="8" spans="1:2">
      <c r="A8" s="25"/>
      <c r="B8" s="3"/>
    </row>
    <row r="9" spans="1:2" ht="18">
      <c r="A9" s="102" t="s">
        <v>70</v>
      </c>
      <c r="B9" s="88">
        <v>0</v>
      </c>
    </row>
    <row r="10" spans="1:2">
      <c r="A10" s="25" t="s">
        <v>81</v>
      </c>
      <c r="B10" s="77">
        <v>0</v>
      </c>
    </row>
    <row r="11" spans="1:2">
      <c r="A11" s="25" t="s">
        <v>78</v>
      </c>
      <c r="B11" s="77">
        <v>0.05</v>
      </c>
    </row>
    <row r="12" spans="1:2">
      <c r="A12" s="25" t="s">
        <v>72</v>
      </c>
      <c r="B12" s="77">
        <v>0.05</v>
      </c>
    </row>
    <row r="13" spans="1:2">
      <c r="A13" s="25" t="s">
        <v>73</v>
      </c>
      <c r="B13" s="77">
        <v>0.1</v>
      </c>
    </row>
    <row r="14" spans="1:2">
      <c r="A14" s="25" t="s">
        <v>74</v>
      </c>
      <c r="B14" s="77">
        <v>0.1</v>
      </c>
    </row>
    <row r="15" spans="1:2">
      <c r="A15" s="22"/>
    </row>
    <row r="16" spans="1:2" ht="18">
      <c r="A16" s="102" t="s">
        <v>71</v>
      </c>
      <c r="B16" s="88">
        <v>0</v>
      </c>
    </row>
    <row r="17" spans="1:2">
      <c r="A17" s="25" t="s">
        <v>82</v>
      </c>
      <c r="B17" s="77">
        <v>0</v>
      </c>
    </row>
    <row r="18" spans="1:2">
      <c r="A18" s="25" t="s">
        <v>79</v>
      </c>
      <c r="B18" s="77">
        <v>0.05</v>
      </c>
    </row>
    <row r="19" spans="1:2">
      <c r="A19" s="25" t="s">
        <v>75</v>
      </c>
      <c r="B19" s="77">
        <v>0.05</v>
      </c>
    </row>
    <row r="20" spans="1:2">
      <c r="A20" s="25" t="s">
        <v>76</v>
      </c>
      <c r="B20" s="77">
        <v>0.1</v>
      </c>
    </row>
    <row r="21" spans="1:2">
      <c r="A21" s="25" t="s">
        <v>77</v>
      </c>
      <c r="B21" s="77">
        <v>0.1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theme="9"/>
  </sheetPr>
  <dimension ref="A1:H43"/>
  <sheetViews>
    <sheetView workbookViewId="0">
      <selection activeCell="K36" sqref="K36"/>
    </sheetView>
  </sheetViews>
  <sheetFormatPr baseColWidth="10" defaultColWidth="11" defaultRowHeight="14.25"/>
  <cols>
    <col min="1" max="1" width="80.875" style="22" bestFit="1" customWidth="1"/>
    <col min="2" max="3" width="12.625" style="22" customWidth="1"/>
    <col min="4" max="16384" width="11" style="22"/>
  </cols>
  <sheetData>
    <row r="1" spans="1:3" ht="35.1" customHeight="1">
      <c r="A1" s="53" t="s">
        <v>56</v>
      </c>
      <c r="B1" s="336" t="s">
        <v>517</v>
      </c>
      <c r="C1" s="337"/>
    </row>
    <row r="2" spans="1:3">
      <c r="B2" s="54" t="s">
        <v>57</v>
      </c>
      <c r="C2" s="282" t="s">
        <v>58</v>
      </c>
    </row>
    <row r="3" spans="1:3" ht="18">
      <c r="A3" s="55" t="s">
        <v>490</v>
      </c>
    </row>
    <row r="4" spans="1:3" s="25" customFormat="1" ht="12.75">
      <c r="A4" s="24" t="s">
        <v>491</v>
      </c>
      <c r="B4" s="283">
        <v>0</v>
      </c>
      <c r="C4" s="25">
        <v>30000</v>
      </c>
    </row>
    <row r="5" spans="1:3" s="25" customFormat="1" ht="12.75">
      <c r="A5" s="24" t="s">
        <v>492</v>
      </c>
      <c r="B5" s="283">
        <v>0</v>
      </c>
      <c r="C5" s="25">
        <v>30000</v>
      </c>
    </row>
    <row r="6" spans="1:3" s="25" customFormat="1" ht="12.75">
      <c r="A6" s="24" t="s">
        <v>493</v>
      </c>
      <c r="B6" s="283">
        <v>0.05</v>
      </c>
      <c r="C6" s="25">
        <v>40000</v>
      </c>
    </row>
    <row r="7" spans="1:3" s="25" customFormat="1" ht="12.75">
      <c r="A7" s="24" t="s">
        <v>494</v>
      </c>
      <c r="B7" s="283">
        <v>0.05</v>
      </c>
      <c r="C7" s="25">
        <v>40000</v>
      </c>
    </row>
    <row r="8" spans="1:3" s="25" customFormat="1" ht="12.75">
      <c r="A8" s="24" t="s">
        <v>495</v>
      </c>
      <c r="B8" s="283">
        <v>0.05</v>
      </c>
      <c r="C8" s="25">
        <v>50000</v>
      </c>
    </row>
    <row r="9" spans="1:3" s="25" customFormat="1" ht="12.75">
      <c r="A9" s="24" t="s">
        <v>496</v>
      </c>
      <c r="B9" s="283">
        <v>0.1</v>
      </c>
      <c r="C9" s="25">
        <v>60000</v>
      </c>
    </row>
    <row r="10" spans="1:3" s="25" customFormat="1" ht="12.75">
      <c r="A10" s="24" t="s">
        <v>497</v>
      </c>
      <c r="B10" s="283">
        <v>0.1</v>
      </c>
      <c r="C10" s="25">
        <v>60000</v>
      </c>
    </row>
    <row r="11" spans="1:3" s="25" customFormat="1" ht="12.75">
      <c r="A11" s="24" t="s">
        <v>498</v>
      </c>
      <c r="B11" s="283">
        <v>0.1</v>
      </c>
      <c r="C11" s="25">
        <v>60000</v>
      </c>
    </row>
    <row r="12" spans="1:3" s="25" customFormat="1" ht="12.75">
      <c r="A12" s="24" t="s">
        <v>499</v>
      </c>
      <c r="B12" s="283">
        <v>0.05</v>
      </c>
      <c r="C12" s="25">
        <v>40000</v>
      </c>
    </row>
    <row r="13" spans="1:3" s="25" customFormat="1" ht="12.75">
      <c r="A13" s="24" t="s">
        <v>500</v>
      </c>
      <c r="B13" s="283">
        <v>0.05</v>
      </c>
      <c r="C13" s="25">
        <v>50000</v>
      </c>
    </row>
    <row r="14" spans="1:3" s="25" customFormat="1" ht="12.75">
      <c r="A14" s="24" t="s">
        <v>501</v>
      </c>
      <c r="B14" s="283">
        <v>0.1</v>
      </c>
      <c r="C14" s="25">
        <v>60000</v>
      </c>
    </row>
    <row r="15" spans="1:3" s="25" customFormat="1" ht="12.75">
      <c r="A15" s="24" t="s">
        <v>502</v>
      </c>
      <c r="B15" s="283">
        <v>0.1</v>
      </c>
      <c r="C15" s="25">
        <v>60000</v>
      </c>
    </row>
    <row r="16" spans="1:3">
      <c r="A16" s="25"/>
      <c r="B16" s="21"/>
    </row>
    <row r="17" spans="1:8" ht="18">
      <c r="A17" s="55" t="s">
        <v>503</v>
      </c>
      <c r="B17" s="21"/>
    </row>
    <row r="18" spans="1:8" s="25" customFormat="1" ht="12.75">
      <c r="A18" s="24" t="s">
        <v>504</v>
      </c>
      <c r="B18" s="283">
        <v>0</v>
      </c>
      <c r="C18" s="25">
        <v>30000</v>
      </c>
    </row>
    <row r="19" spans="1:8" s="25" customFormat="1" ht="12.75">
      <c r="A19" s="24" t="s">
        <v>492</v>
      </c>
      <c r="B19" s="283">
        <v>0</v>
      </c>
      <c r="C19" s="25">
        <v>30000</v>
      </c>
    </row>
    <row r="20" spans="1:8" s="25" customFormat="1" ht="12.75">
      <c r="A20" s="24" t="s">
        <v>493</v>
      </c>
      <c r="B20" s="283">
        <v>0.05</v>
      </c>
      <c r="C20" s="25">
        <v>40000</v>
      </c>
      <c r="G20" s="24"/>
    </row>
    <row r="21" spans="1:8" s="25" customFormat="1" ht="12.75">
      <c r="A21" s="24" t="s">
        <v>494</v>
      </c>
      <c r="B21" s="283">
        <v>0.05</v>
      </c>
      <c r="C21" s="25">
        <v>40000</v>
      </c>
    </row>
    <row r="22" spans="1:8" s="25" customFormat="1" ht="12.75">
      <c r="A22" s="24" t="s">
        <v>495</v>
      </c>
      <c r="B22" s="283">
        <v>0.05</v>
      </c>
      <c r="C22" s="25">
        <v>50000</v>
      </c>
    </row>
    <row r="23" spans="1:8" s="25" customFormat="1" ht="12.75">
      <c r="A23" s="24" t="s">
        <v>496</v>
      </c>
      <c r="B23" s="283">
        <v>0.1</v>
      </c>
      <c r="C23" s="25">
        <v>60000</v>
      </c>
    </row>
    <row r="24" spans="1:8" s="25" customFormat="1" ht="12.75">
      <c r="A24" s="24" t="s">
        <v>497</v>
      </c>
      <c r="B24" s="283">
        <v>0.1</v>
      </c>
      <c r="C24" s="25">
        <v>60000</v>
      </c>
    </row>
    <row r="25" spans="1:8" s="25" customFormat="1" ht="12.75">
      <c r="A25" s="24" t="s">
        <v>505</v>
      </c>
      <c r="B25" s="283">
        <v>0.1</v>
      </c>
      <c r="C25" s="25">
        <v>60000</v>
      </c>
    </row>
    <row r="26" spans="1:8" s="25" customFormat="1" ht="12.75">
      <c r="A26" s="25" t="s">
        <v>506</v>
      </c>
      <c r="B26" s="283">
        <v>0.05</v>
      </c>
      <c r="C26" s="25">
        <v>40000</v>
      </c>
    </row>
    <row r="27" spans="1:8" s="25" customFormat="1" ht="12.75">
      <c r="A27" s="24" t="s">
        <v>507</v>
      </c>
      <c r="B27" s="283">
        <v>0.05</v>
      </c>
      <c r="C27" s="25">
        <v>50000</v>
      </c>
      <c r="H27" s="24"/>
    </row>
    <row r="28" spans="1:8" s="25" customFormat="1" ht="12.75">
      <c r="A28" s="25" t="s">
        <v>508</v>
      </c>
      <c r="B28" s="283">
        <v>0.1</v>
      </c>
      <c r="C28" s="25">
        <v>60000</v>
      </c>
    </row>
    <row r="29" spans="1:8" s="25" customFormat="1" ht="12.75">
      <c r="A29" s="25" t="s">
        <v>509</v>
      </c>
      <c r="B29" s="283">
        <v>0.1</v>
      </c>
      <c r="C29" s="25">
        <v>60000</v>
      </c>
      <c r="D29" s="24"/>
    </row>
    <row r="30" spans="1:8">
      <c r="A30" s="24"/>
      <c r="B30" s="21"/>
    </row>
    <row r="31" spans="1:8" ht="18">
      <c r="A31" s="55" t="s">
        <v>510</v>
      </c>
      <c r="B31" s="21"/>
    </row>
    <row r="32" spans="1:8" s="25" customFormat="1" ht="12.75">
      <c r="A32" s="24" t="s">
        <v>511</v>
      </c>
      <c r="B32" s="283">
        <v>0</v>
      </c>
      <c r="C32" s="25">
        <v>30000</v>
      </c>
    </row>
    <row r="33" spans="1:3" s="25" customFormat="1" ht="12.75">
      <c r="A33" s="24" t="s">
        <v>492</v>
      </c>
      <c r="B33" s="283">
        <v>0</v>
      </c>
      <c r="C33" s="25">
        <v>30000</v>
      </c>
    </row>
    <row r="34" spans="1:3" s="25" customFormat="1" ht="12.75">
      <c r="A34" s="24" t="s">
        <v>493</v>
      </c>
      <c r="B34" s="283">
        <v>0.05</v>
      </c>
      <c r="C34" s="25">
        <v>40000</v>
      </c>
    </row>
    <row r="35" spans="1:3" s="25" customFormat="1" ht="12.75">
      <c r="A35" s="25" t="s">
        <v>494</v>
      </c>
      <c r="B35" s="283">
        <v>0.05</v>
      </c>
      <c r="C35" s="25">
        <v>40000</v>
      </c>
    </row>
    <row r="36" spans="1:3" s="25" customFormat="1" ht="12.75">
      <c r="A36" s="24" t="s">
        <v>495</v>
      </c>
      <c r="B36" s="283">
        <v>0.05</v>
      </c>
      <c r="C36" s="25">
        <v>50000</v>
      </c>
    </row>
    <row r="37" spans="1:3" s="25" customFormat="1" ht="12.75">
      <c r="A37" s="24" t="s">
        <v>496</v>
      </c>
      <c r="B37" s="283">
        <v>0.1</v>
      </c>
      <c r="C37" s="25">
        <v>60000</v>
      </c>
    </row>
    <row r="38" spans="1:3" s="25" customFormat="1" ht="12.75">
      <c r="A38" s="24" t="s">
        <v>497</v>
      </c>
      <c r="B38" s="24">
        <v>0.1</v>
      </c>
      <c r="C38" s="25">
        <v>60000</v>
      </c>
    </row>
    <row r="39" spans="1:3" s="25" customFormat="1" ht="12.75">
      <c r="A39" s="25" t="s">
        <v>512</v>
      </c>
      <c r="B39" s="25">
        <v>0.1</v>
      </c>
      <c r="C39" s="25">
        <v>60000</v>
      </c>
    </row>
    <row r="40" spans="1:3" s="25" customFormat="1" ht="12.75">
      <c r="A40" s="25" t="s">
        <v>513</v>
      </c>
      <c r="B40" s="25">
        <v>0.05</v>
      </c>
      <c r="C40" s="25">
        <v>40000</v>
      </c>
    </row>
    <row r="41" spans="1:3" s="25" customFormat="1" ht="12.75">
      <c r="A41" s="25" t="s">
        <v>514</v>
      </c>
      <c r="B41" s="25">
        <v>0.05</v>
      </c>
      <c r="C41" s="25">
        <v>50000</v>
      </c>
    </row>
    <row r="42" spans="1:3" s="25" customFormat="1" ht="12.75">
      <c r="A42" s="25" t="s">
        <v>515</v>
      </c>
      <c r="B42" s="25">
        <v>0.1</v>
      </c>
      <c r="C42" s="25">
        <v>60000</v>
      </c>
    </row>
    <row r="43" spans="1:3" s="25" customFormat="1" ht="12.75">
      <c r="A43" s="25" t="s">
        <v>516</v>
      </c>
      <c r="B43" s="25">
        <v>0.1</v>
      </c>
      <c r="C43" s="25">
        <v>60000</v>
      </c>
    </row>
  </sheetData>
  <customSheetViews>
    <customSheetView guid="{DE5B7886-4BB5-4BFA-B6B7-1534718A9F64}" state="hidden">
      <selection activeCell="E26" sqref="E26"/>
      <pageMargins left="0.7" right="0.7" top="0.78740157499999996" bottom="0.78740157499999996" header="0.3" footer="0.3"/>
    </customSheetView>
  </customSheetViews>
  <mergeCells count="1">
    <mergeCell ref="B1:C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Simulateur</vt:lpstr>
      <vt:lpstr>Logements locatifs</vt:lpstr>
      <vt:lpstr>PPE</vt:lpstr>
      <vt:lpstr>Maison indiv. - en rangée</vt:lpstr>
      <vt:lpstr>AKL 2025</vt:lpstr>
      <vt:lpstr>Kostenstufen 2025</vt:lpstr>
      <vt:lpstr>Hindernisfreie Bauten</vt:lpstr>
      <vt:lpstr>Nachhaltigkeisstandards</vt:lpstr>
      <vt:lpstr>'AKL 2025'!Druckbereich</vt:lpstr>
      <vt:lpstr>'Logements locatifs'!Druckbereich</vt:lpstr>
      <vt:lpstr>'Maison indiv. - en rangée'!Druckbereich</vt:lpstr>
      <vt:lpstr>PPE!Druckbereich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Hasler Kathrin BWO</dc:creator>
  <cp:lastModifiedBy>Walder Felix BWO</cp:lastModifiedBy>
  <cp:lastPrinted>2025-01-09T15:47:24Z</cp:lastPrinted>
  <dcterms:created xsi:type="dcterms:W3CDTF">2018-11-14T15:15:26Z</dcterms:created>
  <dcterms:modified xsi:type="dcterms:W3CDTF">2025-01-15T09:18:54Z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2025-01-03T15:46:26Z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5c6f1762-4f97-435b-8653-fc772451bce2</vt:lpwstr>
  </property>
  <property fmtid="{D5CDD505-2E9C-101B-9397-08002B2CF9AE}" pid="8" name="MSIP_Label_aa112399-b73b-40c1-8af2-919b124b9d91_ContentBits">
    <vt:lpwstr>0</vt:lpwstr>
  </property>
</Properties>
</file>